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rm\Desktop\"/>
    </mc:Choice>
  </mc:AlternateContent>
  <bookViews>
    <workbookView xWindow="0" yWindow="0" windowWidth="28800" windowHeight="11400" tabRatio="500"/>
  </bookViews>
  <sheets>
    <sheet name="Volumenstromrechner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60" i="1" l="1"/>
  <c r="G60" i="1"/>
  <c r="E61" i="1" s="1"/>
  <c r="E60" i="1"/>
  <c r="G61" i="1" s="1"/>
  <c r="M58" i="1"/>
  <c r="K58" i="1"/>
  <c r="I58" i="1"/>
  <c r="G58" i="1"/>
  <c r="K57" i="1"/>
  <c r="I57" i="1"/>
  <c r="G57" i="1"/>
  <c r="E48" i="1"/>
  <c r="E53" i="1" s="1"/>
  <c r="I37" i="1"/>
  <c r="G37" i="1"/>
  <c r="I36" i="1"/>
  <c r="G36" i="1"/>
  <c r="G38" i="1" s="1"/>
  <c r="E36" i="1"/>
  <c r="E38" i="1" s="1"/>
  <c r="I34" i="1"/>
  <c r="G34" i="1"/>
  <c r="E34" i="1"/>
  <c r="E35" i="1" s="1"/>
  <c r="I30" i="1"/>
  <c r="G30" i="1"/>
  <c r="I27" i="1"/>
  <c r="G27" i="1"/>
  <c r="G25" i="1"/>
  <c r="E62" i="1" l="1"/>
  <c r="G35" i="1"/>
  <c r="I35" i="1"/>
  <c r="I38" i="1"/>
  <c r="E27" i="1"/>
  <c r="E44" i="1"/>
  <c r="E49" i="1"/>
  <c r="E40" i="1"/>
  <c r="E43" i="1"/>
  <c r="E41" i="1"/>
  <c r="G53" i="1" s="1"/>
  <c r="I53" i="1" s="1"/>
  <c r="E54" i="1" s="1"/>
  <c r="I54" i="1" s="1"/>
  <c r="E28" i="1"/>
  <c r="E25" i="1"/>
  <c r="I47" i="1"/>
  <c r="E50" i="1" l="1"/>
  <c r="E55" i="1"/>
  <c r="E56" i="1" s="1"/>
  <c r="G59" i="1" l="1"/>
  <c r="I59" i="1"/>
  <c r="E57" i="1"/>
  <c r="E58" i="1"/>
  <c r="G50" i="1"/>
  <c r="E51" i="1" s="1"/>
  <c r="E52" i="1" s="1"/>
  <c r="G52" i="1"/>
  <c r="I52" i="1" l="1"/>
  <c r="G40" i="1" s="1"/>
  <c r="E45" i="1" s="1"/>
  <c r="E30" i="1" s="1"/>
  <c r="E59" i="1"/>
</calcChain>
</file>

<file path=xl/sharedStrings.xml><?xml version="1.0" encoding="utf-8"?>
<sst xmlns="http://schemas.openxmlformats.org/spreadsheetml/2006/main" count="173" uniqueCount="120">
  <si>
    <t>Bedienungshinweise:</t>
  </si>
  <si>
    <t>Nahtlose und geschweißte Stahlrohre nach DIN EN 10220 für allgemeine Anwendungen</t>
  </si>
  <si>
    <t>-</t>
  </si>
  <si>
    <t>Wertänderung ist nur in den gelb hinterlegten Feldern und den Auswahlkästchen möglich</t>
  </si>
  <si>
    <t>Gilt nicht für Edelstahlrohre</t>
  </si>
  <si>
    <t>Die Berechneten Werte werden in den blauen Feldern angezeigt</t>
  </si>
  <si>
    <t>Ausgabewerte werden nur berechnet wenn genau 2 Variablen angegeben werden, D,c oder Q</t>
  </si>
  <si>
    <t>Nennweite DN</t>
  </si>
  <si>
    <t>c ist nur gültig wenn genau eine Eingabe vorliegt, Absolut oder Prozentual</t>
  </si>
  <si>
    <t>PN</t>
  </si>
  <si>
    <t>Außen-Ø [mm]</t>
  </si>
  <si>
    <t>Für Ein/Ausgabe in Prozent wird ein Referenzwert „100% Entspricht“ benötigt!</t>
  </si>
  <si>
    <t>Innen-Ø [mm]</t>
  </si>
  <si>
    <t>Eingabefelder (gelb hinterlegt):</t>
  </si>
  <si>
    <t>Durchmesser Sensorspitze:</t>
  </si>
  <si>
    <t>Einheit (Bitte auswählen):</t>
  </si>
  <si>
    <t>Rohrinnendurchmesser  D :</t>
  </si>
  <si>
    <t>mm</t>
  </si>
  <si>
    <t>Gewinderohre nach DIN 2440:1978-06</t>
  </si>
  <si>
    <t>Strömungsgeschwindigkeit  c :</t>
  </si>
  <si>
    <t>m</t>
  </si>
  <si>
    <t>/</t>
  </si>
  <si>
    <t>s</t>
  </si>
  <si>
    <t>Zollabmessung</t>
  </si>
  <si>
    <t>1/8“</t>
  </si>
  <si>
    <t>1/4“</t>
  </si>
  <si>
    <t>3/8“</t>
  </si>
  <si>
    <t>1/2“</t>
  </si>
  <si>
    <t>3/4“</t>
  </si>
  <si>
    <t>1“</t>
  </si>
  <si>
    <t>1 1/4“</t>
  </si>
  <si>
    <t>1 1/2“</t>
  </si>
  <si>
    <t>2“</t>
  </si>
  <si>
    <t>2 1/2“</t>
  </si>
  <si>
    <t>3“</t>
  </si>
  <si>
    <t>4“</t>
  </si>
  <si>
    <t>5“</t>
  </si>
  <si>
    <t>6“</t>
  </si>
  <si>
    <t>In Prozent:</t>
  </si>
  <si>
    <t>%</t>
  </si>
  <si>
    <t>100% Entspricht:</t>
  </si>
  <si>
    <t>cm</t>
  </si>
  <si>
    <t>Volumenstrom  Q :</t>
  </si>
  <si>
    <t>l</t>
  </si>
  <si>
    <t>min</t>
  </si>
  <si>
    <r>
      <rPr>
        <b/>
        <sz val="10"/>
        <color rgb="FFFF0000"/>
        <rFont val="Arial"/>
        <family val="2"/>
      </rPr>
      <t>Edelstahl-</t>
    </r>
    <r>
      <rPr>
        <sz val="10"/>
        <rFont val="Arial"/>
        <family val="2"/>
      </rPr>
      <t>Rohre nach DIN EN ISO 1127</t>
    </r>
  </si>
  <si>
    <t>Nennweite NW</t>
  </si>
  <si>
    <t>Ausgabe (blau hinterlegt):</t>
  </si>
  <si>
    <t>Wert:</t>
  </si>
  <si>
    <t>Einheit:</t>
  </si>
  <si>
    <r>
      <rPr>
        <b/>
        <sz val="10"/>
        <color rgb="FFFF0000"/>
        <rFont val="Arial"/>
        <family val="2"/>
      </rPr>
      <t>Edelstahl-</t>
    </r>
    <r>
      <rPr>
        <sz val="10"/>
        <rFont val="Arial"/>
        <family val="2"/>
      </rPr>
      <t>Rohre nach DIN 11850/DIN 11866</t>
    </r>
  </si>
  <si>
    <r>
      <rPr>
        <b/>
        <sz val="10"/>
        <color rgb="FFFF0000"/>
        <rFont val="Arial"/>
        <family val="2"/>
      </rPr>
      <t>Edelstahl</t>
    </r>
    <r>
      <rPr>
        <sz val="10"/>
        <color rgb="FFFF0000"/>
        <rFont val="Arial"/>
        <family val="2"/>
      </rPr>
      <t>-</t>
    </r>
    <r>
      <rPr>
        <sz val="10"/>
        <rFont val="Arial"/>
        <family val="2"/>
      </rPr>
      <t>Rohre nach ANSI/ASME und ASTM</t>
    </r>
  </si>
  <si>
    <t>NPS</t>
  </si>
  <si>
    <t>1/8</t>
  </si>
  <si>
    <t xml:space="preserve">¼ </t>
  </si>
  <si>
    <t>3/8</t>
  </si>
  <si>
    <t>½</t>
  </si>
  <si>
    <t>¾</t>
  </si>
  <si>
    <t>1</t>
  </si>
  <si>
    <t>1 ¼</t>
  </si>
  <si>
    <t>1 ½</t>
  </si>
  <si>
    <t>2</t>
  </si>
  <si>
    <t>2,5</t>
  </si>
  <si>
    <t>3</t>
  </si>
  <si>
    <t>3,5</t>
  </si>
  <si>
    <t>4</t>
  </si>
  <si>
    <t>5</t>
  </si>
  <si>
    <t>6</t>
  </si>
  <si>
    <t>8</t>
  </si>
  <si>
    <t>10</t>
  </si>
  <si>
    <t>12</t>
  </si>
  <si>
    <t>Shedule</t>
  </si>
  <si>
    <t>Wert?</t>
  </si>
  <si>
    <t>40S</t>
  </si>
  <si>
    <t>Rechnung?</t>
  </si>
  <si>
    <t>80S</t>
  </si>
  <si>
    <t>Einheit1</t>
  </si>
  <si>
    <t>Einheit2</t>
  </si>
  <si>
    <t>Gängige Rohrabmessung (direkte Umrechnung Zoll/Inch--&gt;mm)</t>
  </si>
  <si>
    <t>Umrechnungsfaktor</t>
  </si>
  <si>
    <t>D zu A</t>
  </si>
  <si>
    <t>c/Q zu A</t>
  </si>
  <si>
    <t>A zu D</t>
  </si>
  <si>
    <t>A zu c</t>
  </si>
  <si>
    <t>A zu Q</t>
  </si>
  <si>
    <t>Sensorspitze einberechnen?</t>
  </si>
  <si>
    <t>Sinus-Faktor</t>
  </si>
  <si>
    <t>Wert Spitze?</t>
  </si>
  <si>
    <t>D bekannt:</t>
  </si>
  <si>
    <t>D kleiner Sensorspitze?</t>
  </si>
  <si>
    <t>Winkel (Alpha, Beta)</t>
  </si>
  <si>
    <t>Rechteckhöhe</t>
  </si>
  <si>
    <t>Störfläche</t>
  </si>
  <si>
    <t>Diskriminante</t>
  </si>
  <si>
    <t>A bekannt:</t>
  </si>
  <si>
    <t>Radius</t>
  </si>
  <si>
    <t>Durchmesser</t>
  </si>
  <si>
    <t>Korrekturfaktor1 = a*x^b</t>
  </si>
  <si>
    <t>a:</t>
  </si>
  <si>
    <t>b:</t>
  </si>
  <si>
    <t>Korrigierter Durchmesser1</t>
  </si>
  <si>
    <t>Korrekturfaktor2.1 = ax²+bx+c</t>
  </si>
  <si>
    <t>c:</t>
  </si>
  <si>
    <t>Korrekturfaktor2.2 = a*(x-b)^c+d</t>
  </si>
  <si>
    <t>d:</t>
  </si>
  <si>
    <t>Korrigierter Durchmesser2</t>
  </si>
  <si>
    <t>.1</t>
  </si>
  <si>
    <t>.2</t>
  </si>
  <si>
    <t>Prozente:</t>
  </si>
  <si>
    <t>c für Rechn.</t>
  </si>
  <si>
    <t>Versionsübersicht:</t>
  </si>
  <si>
    <t>- 1.0: Grundlegende Rechnerstruktur; D/c/Q ineinander umrechenbar mit Standardeinheiten mm; m/s; l/min</t>
  </si>
  <si>
    <t>- 2.0: Auswählbare Einheiten für Größen eingebaut, Rechnung nun mit Zwischenschritt über Fläche (A)</t>
  </si>
  <si>
    <t>- 2.1: Liste der Einheiten verändert, Ein/Ausgabefelder farblich hervorgehoben, Tabelle mit Rohrgrößen nach DIN 2440/2448 hinzugefügt</t>
  </si>
  <si>
    <t>- 3.0: Möglichkeit zum einberechnen eines Sensorkopfes mit Dm = 6,5mm; Auswahlkästchen zum einrechnen</t>
  </si>
  <si>
    <t>- 3.1: Dm nun frei wählbar, Korrekturfunktionen eingefügt für Rückrechnung c/Q ==&gt; D</t>
  </si>
  <si>
    <t>- 3.2: Dm nur noch zwischen 6,5mm und 6mm wählbar, dafür deutlich höhere Genauigkeit der Rechnung</t>
  </si>
  <si>
    <t>- 4.0: Eingabe für c nun auch in Prozent möglich, Referenzwert für 100% frei einstellbar. Bedienungshinweise verfasst</t>
  </si>
  <si>
    <t>- 4.1: Bugfix bei der Prozentrechnung</t>
  </si>
  <si>
    <t>- 5.0: Tabelle mit Rohrgrößen erweitert/aktualisiert: mehrere einzeltabellen nach versch. Normen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</si>
</sst>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&quot;WAHR&quot;;&quot;WAHR&quot;;&quot;FALSCH&quot;"/>
    <numFmt numFmtId="166" formatCode="dd/mm/yy"/>
  </numFmts>
  <fonts count="9">
    <font>
      <sz val="10"/>
      <name val="Arial"/>
      <family val="2"/>
    </font>
    <font>
      <sz val="10"/>
      <name val="Mangal"/>
      <family val="2"/>
    </font>
    <font>
      <u/>
      <sz val="12"/>
      <name val="Calibri"/>
      <family val="2"/>
    </font>
    <font>
      <b/>
      <sz val="10"/>
      <color rgb="FFFF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7FB0CE"/>
        <bgColor rgb="FF999999"/>
      </patternFill>
    </fill>
    <fill>
      <patternFill patternType="solid">
        <fgColor rgb="FFDDDDDD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999999"/>
      </patternFill>
    </fill>
    <fill>
      <patternFill patternType="solid">
        <fgColor rgb="FFFFFFCC"/>
        <bgColor rgb="FFFFFFFF"/>
      </patternFill>
    </fill>
    <fill>
      <patternFill patternType="solid">
        <fgColor rgb="FFEEEEEE"/>
        <bgColor rgb="FFFFFFFF"/>
      </patternFill>
    </fill>
  </fills>
  <borders count="20">
    <border>
      <left/>
      <right/>
      <top/>
      <bottom/>
      <diagonal/>
    </border>
    <border>
      <left/>
      <right style="hair">
        <color rgb="FF7FB0CE"/>
      </right>
      <top/>
      <bottom style="hair">
        <color rgb="FF7FB0CE"/>
      </bottom>
      <diagonal/>
    </border>
    <border>
      <left style="hair">
        <color rgb="FF7FB0CE"/>
      </left>
      <right style="hair">
        <color rgb="FF7FB0CE"/>
      </right>
      <top/>
      <bottom/>
      <diagonal/>
    </border>
    <border>
      <left style="hair">
        <color rgb="FF7FB0CE"/>
      </left>
      <right/>
      <top/>
      <bottom/>
      <diagonal/>
    </border>
    <border>
      <left/>
      <right/>
      <top style="hair">
        <color rgb="FF7FB0CE"/>
      </top>
      <bottom style="hair">
        <color rgb="FF7FB0CE"/>
      </bottom>
      <diagonal/>
    </border>
    <border>
      <left/>
      <right style="hair">
        <color rgb="FF7FB0CE"/>
      </right>
      <top style="hair">
        <color rgb="FF7FB0CE"/>
      </top>
      <bottom style="hair">
        <color rgb="FF7FB0CE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rgb="FF999999"/>
      </right>
      <top style="hair">
        <color auto="1"/>
      </top>
      <bottom style="hair">
        <color rgb="FF999999"/>
      </bottom>
      <diagonal/>
    </border>
    <border>
      <left style="hair">
        <color rgb="FF999999"/>
      </left>
      <right style="hair">
        <color rgb="FF999999"/>
      </right>
      <top style="hair">
        <color auto="1"/>
      </top>
      <bottom style="hair">
        <color rgb="FF999999"/>
      </bottom>
      <diagonal/>
    </border>
    <border>
      <left style="hair">
        <color rgb="FF999999"/>
      </left>
      <right style="hair">
        <color auto="1"/>
      </right>
      <top style="hair">
        <color auto="1"/>
      </top>
      <bottom style="hair">
        <color rgb="FF999999"/>
      </bottom>
      <diagonal/>
    </border>
    <border>
      <left style="hair">
        <color auto="1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999999"/>
      </left>
      <right style="hair">
        <color auto="1"/>
      </right>
      <top style="hair">
        <color rgb="FF999999"/>
      </top>
      <bottom style="hair">
        <color rgb="FF999999"/>
      </bottom>
      <diagonal/>
    </border>
    <border>
      <left style="hair">
        <color auto="1"/>
      </left>
      <right style="hair">
        <color rgb="FF999999"/>
      </right>
      <top style="hair">
        <color rgb="FF999999"/>
      </top>
      <bottom style="hair">
        <color auto="1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hair">
        <color auto="1"/>
      </bottom>
      <diagonal/>
    </border>
    <border>
      <left style="hair">
        <color rgb="FF999999"/>
      </left>
      <right style="hair">
        <color auto="1"/>
      </right>
      <top style="hair">
        <color rgb="FF999999"/>
      </top>
      <bottom style="hair">
        <color auto="1"/>
      </bottom>
      <diagonal/>
    </border>
    <border>
      <left style="hair">
        <color auto="1"/>
      </left>
      <right style="hair">
        <color rgb="FF999999"/>
      </right>
      <top style="hair">
        <color auto="1"/>
      </top>
      <bottom style="hair">
        <color auto="1"/>
      </bottom>
      <diagonal/>
    </border>
    <border>
      <left style="hair">
        <color rgb="FF999999"/>
      </left>
      <right style="hair">
        <color rgb="FF999999"/>
      </right>
      <top style="hair">
        <color auto="1"/>
      </top>
      <bottom style="hair">
        <color auto="1"/>
      </bottom>
      <diagonal/>
    </border>
    <border>
      <left style="hair">
        <color rgb="FF999999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7FB0CE"/>
      </right>
      <top style="hair">
        <color rgb="FF7FB0CE"/>
      </top>
      <bottom/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71">
    <xf numFmtId="0" fontId="0" fillId="0" borderId="0" xfId="0"/>
    <xf numFmtId="0" fontId="0" fillId="3" borderId="0" xfId="0" applyFill="1" applyProtection="1">
      <protection hidden="1"/>
    </xf>
    <xf numFmtId="0" fontId="0" fillId="4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5" borderId="6" xfId="0" applyFont="1" applyFill="1" applyBorder="1" applyProtection="1"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left"/>
      <protection hidden="1"/>
    </xf>
    <xf numFmtId="0" fontId="0" fillId="0" borderId="7" xfId="0" applyFont="1" applyBorder="1" applyAlignment="1" applyProtection="1">
      <alignment horizontal="center"/>
      <protection hidden="1"/>
    </xf>
    <xf numFmtId="0" fontId="0" fillId="0" borderId="8" xfId="0" applyFont="1" applyBorder="1" applyAlignment="1" applyProtection="1">
      <alignment horizontal="center"/>
      <protection hidden="1"/>
    </xf>
    <xf numFmtId="0" fontId="0" fillId="0" borderId="9" xfId="0" applyFont="1" applyBorder="1" applyAlignment="1" applyProtection="1">
      <alignment horizontal="center"/>
      <protection hidden="1"/>
    </xf>
    <xf numFmtId="0" fontId="0" fillId="3" borderId="6" xfId="0" applyFont="1" applyFill="1" applyBorder="1" applyAlignment="1" applyProtection="1">
      <alignment horizontal="left"/>
      <protection hidden="1"/>
    </xf>
    <xf numFmtId="0" fontId="0" fillId="3" borderId="10" xfId="0" applyFont="1" applyFill="1" applyBorder="1" applyAlignment="1" applyProtection="1">
      <alignment horizontal="center"/>
      <protection hidden="1"/>
    </xf>
    <xf numFmtId="0" fontId="0" fillId="3" borderId="11" xfId="0" applyFont="1" applyFill="1" applyBorder="1" applyAlignment="1" applyProtection="1">
      <alignment horizontal="center"/>
      <protection hidden="1"/>
    </xf>
    <xf numFmtId="0" fontId="0" fillId="3" borderId="12" xfId="0" applyFont="1" applyFill="1" applyBorder="1" applyAlignment="1" applyProtection="1">
      <alignment horizontal="center"/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0" fillId="0" borderId="12" xfId="0" applyFont="1" applyBorder="1" applyAlignment="1" applyProtection="1">
      <alignment horizontal="center"/>
      <protection hidden="1"/>
    </xf>
    <xf numFmtId="0" fontId="4" fillId="4" borderId="0" xfId="0" applyFont="1" applyFill="1" applyProtection="1">
      <protection hidden="1"/>
    </xf>
    <xf numFmtId="0" fontId="5" fillId="5" borderId="0" xfId="0" applyFont="1" applyFill="1" applyProtection="1">
      <protection hidden="1"/>
    </xf>
    <xf numFmtId="0" fontId="0" fillId="0" borderId="13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0" fontId="0" fillId="0" borderId="15" xfId="0" applyFont="1" applyBorder="1" applyAlignment="1" applyProtection="1">
      <alignment horizontal="center"/>
      <protection hidden="1"/>
    </xf>
    <xf numFmtId="0" fontId="4" fillId="4" borderId="0" xfId="0" applyFont="1" applyFill="1" applyProtection="1"/>
    <xf numFmtId="0" fontId="4" fillId="7" borderId="0" xfId="0" applyFont="1" applyFill="1" applyAlignment="1" applyProtection="1">
      <alignment horizontal="center"/>
      <protection locked="0" hidden="1"/>
    </xf>
    <xf numFmtId="0" fontId="0" fillId="0" borderId="0" xfId="0" applyFont="1" applyBorder="1" applyProtection="1"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left"/>
      <protection hidden="1"/>
    </xf>
    <xf numFmtId="0" fontId="0" fillId="5" borderId="6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6" xfId="0" applyBorder="1" applyAlignment="1">
      <alignment horizontal="center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2" borderId="6" xfId="0" applyFont="1" applyFill="1" applyBorder="1" applyAlignment="1" applyProtection="1">
      <alignment horizontal="left"/>
      <protection hidden="1"/>
    </xf>
    <xf numFmtId="0" fontId="4" fillId="8" borderId="0" xfId="0" applyFont="1" applyFill="1" applyProtection="1"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2" fontId="4" fillId="2" borderId="0" xfId="0" applyNumberFormat="1" applyFont="1" applyFill="1" applyAlignment="1" applyProtection="1">
      <alignment horizontal="center"/>
      <protection hidden="1"/>
    </xf>
    <xf numFmtId="1" fontId="4" fillId="2" borderId="0" xfId="0" applyNumberFormat="1" applyFont="1" applyFill="1" applyAlignment="1" applyProtection="1">
      <alignment horizontal="center"/>
      <protection hidden="1"/>
    </xf>
    <xf numFmtId="49" fontId="0" fillId="2" borderId="6" xfId="0" applyNumberFormat="1" applyFont="1" applyFill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hidden="1"/>
    </xf>
    <xf numFmtId="0" fontId="0" fillId="2" borderId="19" xfId="0" applyFill="1" applyBorder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locked="0"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locked="0" hidden="1"/>
    </xf>
    <xf numFmtId="21" fontId="8" fillId="0" borderId="0" xfId="0" applyNumberFormat="1" applyFont="1" applyProtection="1">
      <protection hidden="1"/>
    </xf>
    <xf numFmtId="165" fontId="8" fillId="0" borderId="0" xfId="0" applyNumberFormat="1" applyFont="1" applyProtection="1">
      <protection hidden="1"/>
    </xf>
    <xf numFmtId="166" fontId="8" fillId="0" borderId="0" xfId="0" applyNumberFormat="1" applyFont="1" applyProtection="1">
      <protection hidden="1"/>
    </xf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FB0CE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2B2B2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19080</xdr:colOff>
      <xdr:row>0</xdr:row>
      <xdr:rowOff>139320</xdr:rowOff>
    </xdr:from>
    <xdr:to>
      <xdr:col>2</xdr:col>
      <xdr:colOff>2017470</xdr:colOff>
      <xdr:row>0</xdr:row>
      <xdr:rowOff>401040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77480" y="139320"/>
          <a:ext cx="2017440" cy="26172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10</xdr:row>
          <xdr:rowOff>0</xdr:rowOff>
        </xdr:from>
        <xdr:to>
          <xdr:col>4</xdr:col>
          <xdr:colOff>828675</xdr:colOff>
          <xdr:row>11</xdr:row>
          <xdr:rowOff>9525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</xdr:row>
          <xdr:rowOff>180975</xdr:rowOff>
        </xdr:from>
        <xdr:to>
          <xdr:col>6</xdr:col>
          <xdr:colOff>790575</xdr:colOff>
          <xdr:row>11</xdr:row>
          <xdr:rowOff>0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19050</xdr:rowOff>
        </xdr:from>
        <xdr:to>
          <xdr:col>3</xdr:col>
          <xdr:colOff>0</xdr:colOff>
          <xdr:row>12</xdr:row>
          <xdr:rowOff>47625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MK77"/>
  <sheetViews>
    <sheetView tabSelected="1" zoomScaleNormal="100" workbookViewId="0">
      <selection activeCell="A12" sqref="A12"/>
    </sheetView>
  </sheetViews>
  <sheetFormatPr baseColWidth="10" defaultColWidth="9.140625" defaultRowHeight="12.75"/>
  <cols>
    <col min="1" max="1" width="12.42578125" style="6" customWidth="1"/>
    <col min="2" max="2" width="2.5703125" style="6" customWidth="1"/>
    <col min="3" max="3" width="30.28515625" style="6" customWidth="1"/>
    <col min="4" max="4" width="2.5703125" style="6" customWidth="1"/>
    <col min="5" max="5" width="12.7109375" style="6" customWidth="1"/>
    <col min="6" max="6" width="2.5703125" style="6" customWidth="1"/>
    <col min="7" max="7" width="12.7109375" style="6" customWidth="1"/>
    <col min="8" max="8" width="2.5703125" style="6" customWidth="1"/>
    <col min="9" max="9" width="12.7109375" style="6" customWidth="1"/>
    <col min="10" max="10" width="2.5703125" style="6" customWidth="1"/>
    <col min="11" max="11" width="12.42578125" style="6" customWidth="1"/>
    <col min="12" max="12" width="2.5703125" style="6" customWidth="1"/>
    <col min="13" max="13" width="8.28515625" style="6" customWidth="1"/>
    <col min="14" max="14" width="14.5703125" style="6" customWidth="1"/>
    <col min="15" max="37" width="6.42578125" style="6" customWidth="1"/>
    <col min="38" max="1025" width="12.42578125" style="6" customWidth="1"/>
  </cols>
  <sheetData>
    <row r="1" spans="2:37" ht="41.85" customHeight="1">
      <c r="B1" s="5"/>
      <c r="C1" s="5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9"/>
    </row>
    <row r="2" spans="2:37" ht="14.1" customHeight="1">
      <c r="B2" s="4" t="s">
        <v>0</v>
      </c>
      <c r="C2" s="4"/>
      <c r="D2" s="4"/>
      <c r="E2" s="4"/>
      <c r="F2" s="4"/>
      <c r="G2" s="4"/>
      <c r="H2" s="4"/>
      <c r="I2" s="4"/>
      <c r="J2" s="4"/>
      <c r="L2" s="10"/>
      <c r="M2" s="6" t="s">
        <v>1</v>
      </c>
    </row>
    <row r="3" spans="2:37" ht="14.1" customHeight="1">
      <c r="B3" s="6" t="s">
        <v>2</v>
      </c>
      <c r="C3" s="3" t="s">
        <v>3</v>
      </c>
      <c r="D3" s="3"/>
      <c r="E3" s="3"/>
      <c r="F3" s="3"/>
      <c r="G3" s="3"/>
      <c r="H3" s="3"/>
      <c r="I3" s="3"/>
      <c r="J3" s="3"/>
      <c r="L3" s="10"/>
      <c r="M3" s="12" t="s">
        <v>4</v>
      </c>
    </row>
    <row r="4" spans="2:37" ht="14.1" customHeight="1">
      <c r="B4" s="6" t="s">
        <v>2</v>
      </c>
      <c r="C4" s="2" t="s">
        <v>5</v>
      </c>
      <c r="D4" s="2"/>
      <c r="E4" s="2"/>
      <c r="F4" s="2"/>
      <c r="G4" s="2"/>
      <c r="H4" s="2"/>
      <c r="I4" s="2"/>
      <c r="J4" s="2"/>
      <c r="L4" s="10"/>
    </row>
    <row r="5" spans="2:37" ht="14.1" customHeight="1">
      <c r="B5" s="6" t="s">
        <v>2</v>
      </c>
      <c r="C5" s="2" t="s">
        <v>6</v>
      </c>
      <c r="D5" s="2"/>
      <c r="E5" s="2"/>
      <c r="F5" s="2"/>
      <c r="G5" s="2"/>
      <c r="H5" s="2"/>
      <c r="I5" s="2"/>
      <c r="J5" s="2"/>
      <c r="L5" s="13"/>
      <c r="M5" s="9"/>
      <c r="N5" s="14" t="s">
        <v>7</v>
      </c>
      <c r="O5" s="15">
        <v>10</v>
      </c>
      <c r="P5" s="15">
        <v>15</v>
      </c>
      <c r="Q5" s="15">
        <v>20</v>
      </c>
      <c r="R5" s="15">
        <v>25</v>
      </c>
      <c r="S5" s="15">
        <v>32</v>
      </c>
      <c r="T5" s="15">
        <v>40</v>
      </c>
      <c r="U5" s="15">
        <v>50</v>
      </c>
      <c r="V5" s="15">
        <v>65</v>
      </c>
      <c r="W5" s="15">
        <v>80</v>
      </c>
      <c r="X5" s="15">
        <v>100</v>
      </c>
      <c r="Y5" s="15">
        <v>125</v>
      </c>
      <c r="Z5" s="15">
        <v>150</v>
      </c>
      <c r="AA5" s="15">
        <v>200</v>
      </c>
      <c r="AB5" s="15">
        <v>250</v>
      </c>
      <c r="AC5" s="15">
        <v>300</v>
      </c>
      <c r="AD5" s="15">
        <v>350</v>
      </c>
      <c r="AE5" s="15">
        <v>400</v>
      </c>
      <c r="AF5" s="15">
        <v>500</v>
      </c>
      <c r="AG5" s="15">
        <v>600</v>
      </c>
      <c r="AH5" s="15">
        <v>700</v>
      </c>
      <c r="AI5" s="15">
        <v>800</v>
      </c>
      <c r="AJ5" s="15">
        <v>900</v>
      </c>
      <c r="AK5" s="15">
        <v>1000</v>
      </c>
    </row>
    <row r="6" spans="2:37" ht="14.1" customHeight="1">
      <c r="B6" s="6" t="s">
        <v>2</v>
      </c>
      <c r="C6" s="2" t="s">
        <v>8</v>
      </c>
      <c r="D6" s="2"/>
      <c r="E6" s="2"/>
      <c r="F6" s="2"/>
      <c r="G6" s="2"/>
      <c r="H6" s="2"/>
      <c r="I6" s="2"/>
      <c r="J6" s="2"/>
      <c r="L6" s="10"/>
      <c r="M6" s="16" t="s">
        <v>9</v>
      </c>
      <c r="N6" s="16" t="s">
        <v>10</v>
      </c>
      <c r="O6" s="17">
        <v>17.2</v>
      </c>
      <c r="P6" s="17">
        <v>21.3</v>
      </c>
      <c r="Q6" s="17">
        <v>26.9</v>
      </c>
      <c r="R6" s="17">
        <v>33.700000000000003</v>
      </c>
      <c r="S6" s="17">
        <v>42.4</v>
      </c>
      <c r="T6" s="17">
        <v>48.3</v>
      </c>
      <c r="U6" s="17">
        <v>60.3</v>
      </c>
      <c r="V6" s="17">
        <v>76.099999999999994</v>
      </c>
      <c r="W6" s="17">
        <v>88.9</v>
      </c>
      <c r="X6" s="17">
        <v>114.3</v>
      </c>
      <c r="Y6" s="17">
        <v>139.69999999999999</v>
      </c>
      <c r="Z6" s="17">
        <v>168.3</v>
      </c>
      <c r="AA6" s="17">
        <v>219.1</v>
      </c>
      <c r="AB6" s="17">
        <v>273</v>
      </c>
      <c r="AC6" s="17">
        <v>323.89999999999998</v>
      </c>
      <c r="AD6" s="17">
        <v>355.6</v>
      </c>
      <c r="AE6" s="17">
        <v>406.4</v>
      </c>
      <c r="AF6" s="17">
        <v>508</v>
      </c>
      <c r="AG6" s="17">
        <v>610</v>
      </c>
      <c r="AH6" s="17">
        <v>711</v>
      </c>
      <c r="AI6" s="17">
        <v>813</v>
      </c>
      <c r="AJ6" s="17">
        <v>914</v>
      </c>
      <c r="AK6" s="17">
        <v>1016</v>
      </c>
    </row>
    <row r="7" spans="2:37" ht="14.1" customHeight="1">
      <c r="B7" s="6" t="s">
        <v>2</v>
      </c>
      <c r="C7" s="3" t="s">
        <v>11</v>
      </c>
      <c r="D7" s="3"/>
      <c r="E7" s="3"/>
      <c r="F7" s="3"/>
      <c r="G7" s="3"/>
      <c r="H7" s="3"/>
      <c r="I7" s="3"/>
      <c r="J7" s="3"/>
      <c r="L7" s="10"/>
      <c r="M7" s="18">
        <v>6</v>
      </c>
      <c r="N7" s="18" t="s">
        <v>12</v>
      </c>
      <c r="O7" s="19">
        <v>13.6</v>
      </c>
      <c r="P7" s="20">
        <v>17.3</v>
      </c>
      <c r="Q7" s="20">
        <v>22.3</v>
      </c>
      <c r="R7" s="20">
        <v>28.5</v>
      </c>
      <c r="S7" s="20">
        <v>37.200000000000003</v>
      </c>
      <c r="T7" s="20">
        <v>43.1</v>
      </c>
      <c r="U7" s="20">
        <v>54.5</v>
      </c>
      <c r="V7" s="20">
        <v>70.3</v>
      </c>
      <c r="W7" s="20">
        <v>82.5</v>
      </c>
      <c r="X7" s="20">
        <v>107.1</v>
      </c>
      <c r="Y7" s="20">
        <v>131.69999999999999</v>
      </c>
      <c r="Z7" s="20">
        <v>159.30000000000001</v>
      </c>
      <c r="AA7" s="20">
        <v>207.3</v>
      </c>
      <c r="AB7" s="20">
        <v>260.39999999999998</v>
      </c>
      <c r="AC7" s="20">
        <v>309.7</v>
      </c>
      <c r="AD7" s="20">
        <v>314.39999999999998</v>
      </c>
      <c r="AE7" s="20">
        <v>392.2</v>
      </c>
      <c r="AF7" s="20">
        <v>493.8</v>
      </c>
      <c r="AG7" s="20">
        <v>595.79999999999995</v>
      </c>
      <c r="AH7" s="20">
        <v>595.79999999999995</v>
      </c>
      <c r="AI7" s="20">
        <v>595.79999999999995</v>
      </c>
      <c r="AJ7" s="20">
        <v>595.79999999999995</v>
      </c>
      <c r="AK7" s="21">
        <v>595.79999999999995</v>
      </c>
    </row>
    <row r="8" spans="2:37" ht="14.1" customHeight="1">
      <c r="B8" s="1"/>
      <c r="C8" s="1"/>
      <c r="D8" s="1"/>
      <c r="E8" s="1"/>
      <c r="F8" s="1"/>
      <c r="G8" s="1"/>
      <c r="H8" s="1"/>
      <c r="I8" s="1"/>
      <c r="J8" s="1"/>
      <c r="L8" s="10"/>
      <c r="M8" s="22">
        <v>10</v>
      </c>
      <c r="N8" s="22" t="s">
        <v>12</v>
      </c>
      <c r="O8" s="23">
        <v>13.6</v>
      </c>
      <c r="P8" s="24">
        <v>17.3</v>
      </c>
      <c r="Q8" s="24">
        <v>22.3</v>
      </c>
      <c r="R8" s="24">
        <v>28.5</v>
      </c>
      <c r="S8" s="24">
        <v>37.200000000000003</v>
      </c>
      <c r="T8" s="24">
        <v>43.1</v>
      </c>
      <c r="U8" s="24">
        <v>54.5</v>
      </c>
      <c r="V8" s="24">
        <v>70.3</v>
      </c>
      <c r="W8" s="24">
        <v>82.5</v>
      </c>
      <c r="X8" s="24">
        <v>107.1</v>
      </c>
      <c r="Y8" s="24">
        <v>131.69999999999999</v>
      </c>
      <c r="Z8" s="24">
        <v>159.30000000000001</v>
      </c>
      <c r="AA8" s="24">
        <v>207.3</v>
      </c>
      <c r="AB8" s="24">
        <v>260.39999999999998</v>
      </c>
      <c r="AC8" s="24">
        <v>309.7</v>
      </c>
      <c r="AD8" s="24">
        <v>341.4</v>
      </c>
      <c r="AE8" s="24">
        <v>390.4</v>
      </c>
      <c r="AF8" s="24">
        <v>493.8</v>
      </c>
      <c r="AG8" s="24">
        <v>595.79999999999995</v>
      </c>
      <c r="AH8" s="24">
        <v>695</v>
      </c>
      <c r="AI8" s="24">
        <v>797</v>
      </c>
      <c r="AJ8" s="24">
        <v>894</v>
      </c>
      <c r="AK8" s="25">
        <v>996</v>
      </c>
    </row>
    <row r="9" spans="2:37" ht="15.6" customHeight="1">
      <c r="B9" s="26"/>
      <c r="C9" s="27" t="s">
        <v>13</v>
      </c>
      <c r="D9" s="26"/>
      <c r="E9" s="26"/>
      <c r="F9" s="26"/>
      <c r="G9" s="26"/>
      <c r="H9" s="26"/>
      <c r="I9" s="26"/>
      <c r="J9" s="26"/>
      <c r="L9" s="10"/>
      <c r="M9" s="18">
        <v>16</v>
      </c>
      <c r="N9" s="18" t="s">
        <v>12</v>
      </c>
      <c r="O9" s="28">
        <v>13.6</v>
      </c>
      <c r="P9" s="29">
        <v>17.3</v>
      </c>
      <c r="Q9" s="29">
        <v>22.3</v>
      </c>
      <c r="R9" s="29">
        <v>28.5</v>
      </c>
      <c r="S9" s="29">
        <v>37.200000000000003</v>
      </c>
      <c r="T9" s="29">
        <v>43.1</v>
      </c>
      <c r="U9" s="29">
        <v>54.5</v>
      </c>
      <c r="V9" s="29">
        <v>70.3</v>
      </c>
      <c r="W9" s="29">
        <v>82.5</v>
      </c>
      <c r="X9" s="29">
        <v>107.1</v>
      </c>
      <c r="Y9" s="29">
        <v>131.69999999999999</v>
      </c>
      <c r="Z9" s="29">
        <v>159.30000000000001</v>
      </c>
      <c r="AA9" s="29">
        <v>207.3</v>
      </c>
      <c r="AB9" s="29">
        <v>260.39999999999998</v>
      </c>
      <c r="AC9" s="29">
        <v>309.7</v>
      </c>
      <c r="AD9" s="29">
        <v>339.6</v>
      </c>
      <c r="AE9" s="29">
        <v>390.4</v>
      </c>
      <c r="AF9" s="29">
        <v>492</v>
      </c>
      <c r="AG9" s="29">
        <v>592.4</v>
      </c>
      <c r="AH9" s="29">
        <v>693.4</v>
      </c>
      <c r="AI9" s="29">
        <v>793</v>
      </c>
      <c r="AJ9" s="29">
        <v>894</v>
      </c>
      <c r="AK9" s="30">
        <v>996</v>
      </c>
    </row>
    <row r="10" spans="2:37" ht="15.6" customHeight="1">
      <c r="B10" s="26"/>
      <c r="C10" s="26"/>
      <c r="D10" s="26"/>
      <c r="E10" s="26"/>
      <c r="F10" s="26"/>
      <c r="G10" s="26"/>
      <c r="H10" s="26"/>
      <c r="I10" s="26"/>
      <c r="J10" s="26"/>
      <c r="L10" s="10"/>
      <c r="M10" s="22">
        <v>25</v>
      </c>
      <c r="N10" s="22" t="s">
        <v>12</v>
      </c>
      <c r="O10" s="23">
        <v>13.6</v>
      </c>
      <c r="P10" s="24">
        <v>17.3</v>
      </c>
      <c r="Q10" s="24">
        <v>22.3</v>
      </c>
      <c r="R10" s="24">
        <v>28.5</v>
      </c>
      <c r="S10" s="24">
        <v>37.200000000000003</v>
      </c>
      <c r="T10" s="24">
        <v>43.1</v>
      </c>
      <c r="U10" s="24">
        <v>54.5</v>
      </c>
      <c r="V10" s="24">
        <v>70.3</v>
      </c>
      <c r="W10" s="24">
        <v>82.5</v>
      </c>
      <c r="X10" s="24">
        <v>107.1</v>
      </c>
      <c r="Y10" s="24">
        <v>131.69999999999999</v>
      </c>
      <c r="Z10" s="24">
        <v>159.30000000000001</v>
      </c>
      <c r="AA10" s="24">
        <v>206.5</v>
      </c>
      <c r="AB10" s="24">
        <v>258.8</v>
      </c>
      <c r="AC10" s="24">
        <v>307.89999999999998</v>
      </c>
      <c r="AD10" s="24">
        <v>339.6</v>
      </c>
      <c r="AE10" s="24">
        <v>388.8</v>
      </c>
      <c r="AF10" s="24">
        <v>488</v>
      </c>
      <c r="AG10" s="24">
        <v>588</v>
      </c>
      <c r="AH10" s="24">
        <v>686</v>
      </c>
      <c r="AI10" s="24">
        <v>784.6</v>
      </c>
      <c r="AJ10" s="24">
        <v>882</v>
      </c>
      <c r="AK10" s="25">
        <v>981</v>
      </c>
    </row>
    <row r="11" spans="2:37" ht="15.6" customHeight="1">
      <c r="B11" s="26"/>
      <c r="C11" s="31" t="s">
        <v>14</v>
      </c>
      <c r="D11" s="26"/>
      <c r="E11" s="26"/>
      <c r="F11" s="26"/>
      <c r="G11" s="26"/>
      <c r="H11" s="26"/>
      <c r="I11" s="26"/>
      <c r="J11" s="26"/>
      <c r="L11" s="10"/>
      <c r="M11" s="18">
        <v>40</v>
      </c>
      <c r="N11" s="18" t="s">
        <v>12</v>
      </c>
      <c r="O11" s="28">
        <v>13.6</v>
      </c>
      <c r="P11" s="29">
        <v>17.3</v>
      </c>
      <c r="Q11" s="29">
        <v>22.3</v>
      </c>
      <c r="R11" s="29">
        <v>28.5</v>
      </c>
      <c r="S11" s="29">
        <v>37.200000000000003</v>
      </c>
      <c r="T11" s="29">
        <v>43.1</v>
      </c>
      <c r="U11" s="29">
        <v>54.5</v>
      </c>
      <c r="V11" s="29">
        <v>70.3</v>
      </c>
      <c r="W11" s="29">
        <v>82.5</v>
      </c>
      <c r="X11" s="29">
        <v>107.1</v>
      </c>
      <c r="Y11" s="29">
        <v>131.69999999999999</v>
      </c>
      <c r="Z11" s="29">
        <v>159.30000000000001</v>
      </c>
      <c r="AA11" s="29">
        <v>206.5</v>
      </c>
      <c r="AB11" s="29">
        <v>258.8</v>
      </c>
      <c r="AC11" s="29">
        <v>307.89999999999998</v>
      </c>
      <c r="AD11" s="29">
        <v>338</v>
      </c>
      <c r="AE11" s="29">
        <v>384.4</v>
      </c>
      <c r="AF11" s="29">
        <v>479.6</v>
      </c>
      <c r="AG11" s="29"/>
      <c r="AH11" s="29"/>
      <c r="AI11" s="29"/>
      <c r="AJ11" s="29"/>
      <c r="AK11" s="30"/>
    </row>
    <row r="12" spans="2:37" ht="15.6" customHeight="1">
      <c r="B12" s="26"/>
      <c r="C12" s="26"/>
      <c r="D12" s="26"/>
      <c r="E12" s="26"/>
      <c r="F12" s="26"/>
      <c r="G12" s="26"/>
      <c r="H12" s="26"/>
      <c r="I12" s="26"/>
      <c r="J12" s="26"/>
      <c r="L12" s="10"/>
      <c r="M12" s="22">
        <v>64</v>
      </c>
      <c r="N12" s="22" t="s">
        <v>12</v>
      </c>
      <c r="O12" s="23">
        <v>13.6</v>
      </c>
      <c r="P12" s="24">
        <v>17.3</v>
      </c>
      <c r="Q12" s="24"/>
      <c r="R12" s="24">
        <v>28.5</v>
      </c>
      <c r="S12" s="24"/>
      <c r="T12" s="24">
        <v>42.5</v>
      </c>
      <c r="U12" s="24">
        <v>54.5</v>
      </c>
      <c r="V12" s="24">
        <v>69.7</v>
      </c>
      <c r="W12" s="24">
        <v>81.7</v>
      </c>
      <c r="X12" s="24">
        <v>106.3</v>
      </c>
      <c r="Y12" s="24">
        <v>130.69999999999999</v>
      </c>
      <c r="Z12" s="24">
        <v>157.1</v>
      </c>
      <c r="AA12" s="24"/>
      <c r="AB12" s="24">
        <v>255.4</v>
      </c>
      <c r="AC12" s="24">
        <v>301.89999999999998</v>
      </c>
      <c r="AD12" s="24">
        <v>330.6</v>
      </c>
      <c r="AE12" s="24">
        <v>378</v>
      </c>
      <c r="AF12" s="24"/>
      <c r="AG12" s="24"/>
      <c r="AH12" s="24"/>
      <c r="AI12" s="24"/>
      <c r="AJ12" s="24"/>
      <c r="AK12" s="25"/>
    </row>
    <row r="13" spans="2:37" ht="15.6" customHeight="1">
      <c r="B13" s="26"/>
      <c r="C13" s="26"/>
      <c r="D13" s="26"/>
      <c r="E13" s="26"/>
      <c r="F13" s="26"/>
      <c r="G13" s="32" t="s">
        <v>15</v>
      </c>
      <c r="H13" s="26"/>
      <c r="I13" s="26"/>
      <c r="J13" s="26"/>
      <c r="L13" s="10"/>
      <c r="M13" s="18">
        <v>100</v>
      </c>
      <c r="N13" s="18" t="s">
        <v>12</v>
      </c>
      <c r="O13" s="33">
        <v>13.6</v>
      </c>
      <c r="P13" s="34">
        <v>17.3</v>
      </c>
      <c r="Q13" s="34"/>
      <c r="R13" s="34">
        <v>28.5</v>
      </c>
      <c r="S13" s="34"/>
      <c r="T13" s="34">
        <v>42.5</v>
      </c>
      <c r="U13" s="34">
        <v>53.9</v>
      </c>
      <c r="V13" s="34">
        <v>68.900000000000006</v>
      </c>
      <c r="W13" s="34">
        <v>80.900000000000006</v>
      </c>
      <c r="X13" s="34">
        <v>104.3</v>
      </c>
      <c r="Y13" s="34">
        <v>127.1</v>
      </c>
      <c r="Z13" s="34">
        <v>154.1</v>
      </c>
      <c r="AA13" s="34">
        <v>199.1</v>
      </c>
      <c r="AB13" s="34">
        <v>248</v>
      </c>
      <c r="AC13" s="34">
        <v>295.5</v>
      </c>
      <c r="AD13" s="34">
        <v>323.60000000000002</v>
      </c>
      <c r="AE13" s="34"/>
      <c r="AF13" s="34"/>
      <c r="AG13" s="34"/>
      <c r="AH13" s="34"/>
      <c r="AI13" s="34"/>
      <c r="AJ13" s="34"/>
      <c r="AK13" s="35"/>
    </row>
    <row r="14" spans="2:37" ht="15.6" customHeight="1">
      <c r="B14" s="26"/>
      <c r="C14" s="36" t="s">
        <v>16</v>
      </c>
      <c r="D14" s="26"/>
      <c r="E14" s="37">
        <v>26</v>
      </c>
      <c r="F14" s="26"/>
      <c r="G14" s="37" t="s">
        <v>17</v>
      </c>
      <c r="H14" s="26"/>
      <c r="I14" s="26"/>
      <c r="J14" s="26"/>
      <c r="L14" s="10"/>
    </row>
    <row r="15" spans="2:37" ht="15.6" customHeight="1">
      <c r="B15" s="26"/>
      <c r="C15" s="26"/>
      <c r="D15" s="26"/>
      <c r="E15" s="26"/>
      <c r="F15" s="26"/>
      <c r="G15" s="26"/>
      <c r="H15" s="26"/>
      <c r="I15" s="26"/>
      <c r="J15" s="26"/>
      <c r="L15" s="10"/>
      <c r="M15" s="38" t="s">
        <v>18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</row>
    <row r="16" spans="2:37" ht="15.6" customHeight="1">
      <c r="B16" s="26"/>
      <c r="C16" s="31" t="s">
        <v>19</v>
      </c>
      <c r="D16" s="26"/>
      <c r="E16" s="37">
        <v>4</v>
      </c>
      <c r="F16" s="26"/>
      <c r="G16" s="37" t="s">
        <v>20</v>
      </c>
      <c r="H16" s="39" t="s">
        <v>21</v>
      </c>
      <c r="I16" s="37" t="s">
        <v>22</v>
      </c>
      <c r="J16" s="26"/>
      <c r="L16" s="13"/>
      <c r="M16" s="9"/>
      <c r="N16" s="14" t="s">
        <v>23</v>
      </c>
      <c r="O16" s="15" t="s">
        <v>24</v>
      </c>
      <c r="P16" s="15" t="s">
        <v>25</v>
      </c>
      <c r="Q16" s="15" t="s">
        <v>26</v>
      </c>
      <c r="R16" s="15" t="s">
        <v>27</v>
      </c>
      <c r="S16" s="15" t="s">
        <v>28</v>
      </c>
      <c r="T16" s="15" t="s">
        <v>29</v>
      </c>
      <c r="U16" s="15" t="s">
        <v>30</v>
      </c>
      <c r="V16" s="15" t="s">
        <v>31</v>
      </c>
      <c r="W16" s="15" t="s">
        <v>32</v>
      </c>
      <c r="X16" s="15" t="s">
        <v>33</v>
      </c>
      <c r="Y16" s="15" t="s">
        <v>34</v>
      </c>
      <c r="Z16" s="15" t="s">
        <v>35</v>
      </c>
      <c r="AA16" s="15" t="s">
        <v>36</v>
      </c>
      <c r="AB16" s="15" t="s">
        <v>37</v>
      </c>
    </row>
    <row r="17" spans="2:32" ht="15.6" customHeight="1">
      <c r="B17" s="26"/>
      <c r="C17" s="31" t="s">
        <v>38</v>
      </c>
      <c r="D17" s="26"/>
      <c r="E17" s="37"/>
      <c r="F17" s="26"/>
      <c r="G17" s="39" t="s">
        <v>39</v>
      </c>
      <c r="H17" s="26"/>
      <c r="I17" s="26"/>
      <c r="J17" s="26"/>
      <c r="L17" s="10"/>
      <c r="M17" s="40"/>
      <c r="N17" s="41" t="s">
        <v>10</v>
      </c>
      <c r="O17" s="17">
        <v>10.199999999999999</v>
      </c>
      <c r="P17" s="17">
        <v>13.5</v>
      </c>
      <c r="Q17" s="17">
        <v>17.2</v>
      </c>
      <c r="R17" s="17">
        <v>21.3</v>
      </c>
      <c r="S17" s="17">
        <v>26.9</v>
      </c>
      <c r="T17" s="17">
        <v>33.700000000000003</v>
      </c>
      <c r="U17" s="17">
        <v>42.4</v>
      </c>
      <c r="V17" s="17">
        <v>48.3</v>
      </c>
      <c r="W17" s="17">
        <v>60.3</v>
      </c>
      <c r="X17" s="17">
        <v>76.099999999999994</v>
      </c>
      <c r="Y17" s="17">
        <v>88.9</v>
      </c>
      <c r="Z17" s="17">
        <v>114.3</v>
      </c>
      <c r="AA17" s="17">
        <v>139.69999999999999</v>
      </c>
      <c r="AB17" s="17">
        <v>165.1</v>
      </c>
    </row>
    <row r="18" spans="2:32" ht="15.6" customHeight="1">
      <c r="B18" s="26"/>
      <c r="C18" s="42" t="s">
        <v>40</v>
      </c>
      <c r="D18" s="26"/>
      <c r="E18" s="37"/>
      <c r="F18" s="26"/>
      <c r="G18" s="43" t="s">
        <v>41</v>
      </c>
      <c r="H18" s="43" t="s">
        <v>21</v>
      </c>
      <c r="I18" s="43" t="s">
        <v>22</v>
      </c>
      <c r="J18" s="26"/>
      <c r="L18" s="10"/>
      <c r="M18" s="44"/>
      <c r="N18" s="18" t="s">
        <v>12</v>
      </c>
      <c r="O18" s="45">
        <v>6.2</v>
      </c>
      <c r="P18" s="45">
        <v>8.8000000000000007</v>
      </c>
      <c r="Q18" s="45">
        <v>12.5</v>
      </c>
      <c r="R18" s="45">
        <v>16</v>
      </c>
      <c r="S18" s="45">
        <v>21.6</v>
      </c>
      <c r="T18" s="45">
        <v>27.2</v>
      </c>
      <c r="U18" s="45">
        <v>35.9</v>
      </c>
      <c r="V18" s="45">
        <v>41.8</v>
      </c>
      <c r="W18" s="45">
        <v>53</v>
      </c>
      <c r="X18" s="45">
        <v>68.8</v>
      </c>
      <c r="Y18" s="45">
        <v>80.8</v>
      </c>
      <c r="Z18" s="45">
        <v>105.3</v>
      </c>
      <c r="AA18" s="45">
        <v>130</v>
      </c>
      <c r="AB18" s="45">
        <v>155.4</v>
      </c>
    </row>
    <row r="19" spans="2:32" ht="15.6" customHeight="1">
      <c r="B19" s="26"/>
      <c r="C19" s="26"/>
      <c r="D19" s="26"/>
      <c r="E19" s="26"/>
      <c r="F19" s="26"/>
      <c r="G19" s="26"/>
      <c r="H19" s="26"/>
      <c r="I19" s="26"/>
      <c r="J19" s="26"/>
      <c r="L19" s="10"/>
    </row>
    <row r="20" spans="2:32" ht="15.6" customHeight="1">
      <c r="B20" s="26"/>
      <c r="C20" s="31" t="s">
        <v>42</v>
      </c>
      <c r="D20" s="26"/>
      <c r="E20" s="37"/>
      <c r="F20" s="26"/>
      <c r="G20" s="37" t="s">
        <v>43</v>
      </c>
      <c r="H20" s="39" t="s">
        <v>21</v>
      </c>
      <c r="I20" s="37" t="s">
        <v>44</v>
      </c>
      <c r="J20" s="26"/>
      <c r="K20" s="46"/>
      <c r="L20" s="10"/>
      <c r="M20" s="47" t="s">
        <v>45</v>
      </c>
    </row>
    <row r="21" spans="2:32" ht="15.6" customHeight="1">
      <c r="B21" s="26"/>
      <c r="C21" s="26"/>
      <c r="D21" s="26"/>
      <c r="E21" s="26"/>
      <c r="F21" s="26"/>
      <c r="G21" s="26"/>
      <c r="H21" s="26"/>
      <c r="I21" s="26"/>
      <c r="J21" s="26"/>
      <c r="L21" s="13"/>
      <c r="M21" s="9"/>
      <c r="N21" s="48" t="s">
        <v>46</v>
      </c>
      <c r="O21" s="15">
        <v>6</v>
      </c>
      <c r="P21" s="15">
        <v>8</v>
      </c>
      <c r="Q21" s="15">
        <v>10</v>
      </c>
      <c r="R21" s="15">
        <v>15</v>
      </c>
      <c r="S21" s="15">
        <v>20</v>
      </c>
      <c r="T21" s="15">
        <v>25</v>
      </c>
      <c r="U21" s="15">
        <v>32</v>
      </c>
      <c r="V21" s="15">
        <v>40</v>
      </c>
      <c r="W21" s="15">
        <v>50</v>
      </c>
      <c r="X21" s="15">
        <v>65</v>
      </c>
      <c r="Y21" s="15">
        <v>80</v>
      </c>
      <c r="Z21" s="15">
        <v>100</v>
      </c>
      <c r="AA21" s="15">
        <v>125</v>
      </c>
      <c r="AB21" s="15">
        <v>150</v>
      </c>
      <c r="AC21" s="15">
        <v>200</v>
      </c>
    </row>
    <row r="22" spans="2:32" ht="15.6" customHeight="1">
      <c r="B22" s="49"/>
      <c r="C22" s="49"/>
      <c r="D22" s="49"/>
      <c r="E22" s="49"/>
      <c r="F22" s="49"/>
      <c r="G22" s="49"/>
      <c r="H22" s="49"/>
      <c r="I22" s="49"/>
      <c r="J22" s="49"/>
      <c r="L22" s="10"/>
      <c r="M22" s="40"/>
      <c r="N22" s="41" t="s">
        <v>10</v>
      </c>
      <c r="O22" s="17">
        <v>10.199999999999999</v>
      </c>
      <c r="P22" s="17">
        <v>13.5</v>
      </c>
      <c r="Q22" s="17">
        <v>17.2</v>
      </c>
      <c r="R22" s="17">
        <v>21.3</v>
      </c>
      <c r="S22" s="17">
        <v>26.9</v>
      </c>
      <c r="T22" s="17">
        <v>33.700000000000003</v>
      </c>
      <c r="U22" s="17">
        <v>42.4</v>
      </c>
      <c r="V22" s="17">
        <v>48.3</v>
      </c>
      <c r="W22" s="17">
        <v>60.3</v>
      </c>
      <c r="X22" s="17">
        <v>76.099999999999994</v>
      </c>
      <c r="Y22" s="17">
        <v>88.9</v>
      </c>
      <c r="Z22" s="17">
        <v>114.3</v>
      </c>
      <c r="AA22" s="17">
        <v>139.69999999999999</v>
      </c>
      <c r="AB22" s="17">
        <v>168.3</v>
      </c>
      <c r="AC22" s="17">
        <v>219.3</v>
      </c>
    </row>
    <row r="23" spans="2:32" ht="15.6" customHeight="1">
      <c r="B23" s="26"/>
      <c r="C23" s="27" t="s">
        <v>47</v>
      </c>
      <c r="D23" s="26"/>
      <c r="E23" s="26"/>
      <c r="F23" s="26"/>
      <c r="G23" s="26"/>
      <c r="H23" s="26"/>
      <c r="I23" s="26"/>
      <c r="J23" s="26"/>
      <c r="L23" s="10"/>
      <c r="M23" s="44"/>
      <c r="N23" s="18" t="s">
        <v>12</v>
      </c>
      <c r="O23" s="50">
        <v>7</v>
      </c>
      <c r="P23" s="51">
        <v>10.3</v>
      </c>
      <c r="Q23" s="51">
        <v>14</v>
      </c>
      <c r="R23" s="51">
        <v>18.100000000000001</v>
      </c>
      <c r="S23" s="51">
        <v>23.7</v>
      </c>
      <c r="T23" s="51">
        <v>29.7</v>
      </c>
      <c r="U23" s="51">
        <v>38.4</v>
      </c>
      <c r="V23" s="51">
        <v>44.3</v>
      </c>
      <c r="W23" s="51">
        <v>56.3</v>
      </c>
      <c r="X23" s="51">
        <v>72.099999999999994</v>
      </c>
      <c r="Y23" s="51">
        <v>84.3</v>
      </c>
      <c r="Z23" s="51">
        <v>109.7</v>
      </c>
      <c r="AA23" s="51">
        <v>135.1</v>
      </c>
      <c r="AB23" s="51">
        <v>163.1</v>
      </c>
      <c r="AC23" s="52">
        <v>213.9</v>
      </c>
    </row>
    <row r="24" spans="2:32" ht="15.6" customHeight="1">
      <c r="B24" s="26"/>
      <c r="C24" s="26"/>
      <c r="D24" s="26"/>
      <c r="E24" s="26" t="s">
        <v>48</v>
      </c>
      <c r="F24" s="26"/>
      <c r="G24" s="26" t="s">
        <v>49</v>
      </c>
      <c r="H24" s="26"/>
      <c r="I24" s="26"/>
      <c r="J24" s="26"/>
      <c r="L24" s="10"/>
    </row>
    <row r="25" spans="2:32" ht="15.6" customHeight="1">
      <c r="B25" s="26"/>
      <c r="C25" s="36" t="s">
        <v>16</v>
      </c>
      <c r="D25" s="26"/>
      <c r="E25" s="53">
        <f>IF(E35,IF(E47,(E59*0.001)/E38,E43),IF(AND(NOT(E35),NOT(G35),NOT(I35)),"---",E14))</f>
        <v>26</v>
      </c>
      <c r="F25" s="26"/>
      <c r="G25" s="43" t="str">
        <f>G14</f>
        <v>mm</v>
      </c>
      <c r="H25" s="26"/>
      <c r="I25" s="26"/>
      <c r="J25" s="26"/>
      <c r="L25" s="10"/>
      <c r="M25" s="47" t="s">
        <v>50</v>
      </c>
    </row>
    <row r="26" spans="2:32" ht="15.6" customHeight="1">
      <c r="B26" s="26"/>
      <c r="C26" s="26"/>
      <c r="D26" s="26"/>
      <c r="E26" s="26"/>
      <c r="F26" s="26"/>
      <c r="G26" s="26"/>
      <c r="H26" s="26"/>
      <c r="I26" s="26"/>
      <c r="J26" s="26"/>
      <c r="L26" s="13"/>
      <c r="M26" s="9"/>
      <c r="N26" s="48" t="s">
        <v>7</v>
      </c>
      <c r="O26" s="15">
        <v>6</v>
      </c>
      <c r="P26" s="15">
        <v>8</v>
      </c>
      <c r="Q26" s="15">
        <v>10</v>
      </c>
      <c r="R26" s="15">
        <v>15</v>
      </c>
      <c r="S26" s="15">
        <v>20</v>
      </c>
      <c r="T26" s="15">
        <v>25</v>
      </c>
      <c r="U26" s="15">
        <v>32</v>
      </c>
      <c r="V26" s="15">
        <v>40</v>
      </c>
      <c r="W26" s="15">
        <v>50</v>
      </c>
      <c r="X26" s="15">
        <v>65</v>
      </c>
      <c r="Y26" s="15">
        <v>80</v>
      </c>
      <c r="Z26" s="15">
        <v>100</v>
      </c>
      <c r="AA26" s="15">
        <v>125</v>
      </c>
      <c r="AB26" s="15">
        <v>150</v>
      </c>
      <c r="AC26" s="15">
        <v>200</v>
      </c>
    </row>
    <row r="27" spans="2:32" ht="15.6" customHeight="1">
      <c r="B27" s="26"/>
      <c r="C27" s="31" t="s">
        <v>19</v>
      </c>
      <c r="D27" s="26"/>
      <c r="E27" s="53">
        <f>IF(G35,E44,IF(AND(NOT(E35),NOT(G35),NOT(I35)),"---",E62/G38))</f>
        <v>4</v>
      </c>
      <c r="F27" s="26"/>
      <c r="G27" s="43" t="str">
        <f>G16</f>
        <v>m</v>
      </c>
      <c r="H27" s="39" t="s">
        <v>21</v>
      </c>
      <c r="I27" s="43" t="str">
        <f>I16</f>
        <v>s</v>
      </c>
      <c r="J27" s="26"/>
      <c r="L27" s="10"/>
      <c r="M27" s="40"/>
      <c r="N27" s="41" t="s">
        <v>10</v>
      </c>
      <c r="O27" s="17">
        <v>8</v>
      </c>
      <c r="P27" s="17">
        <v>10</v>
      </c>
      <c r="Q27" s="17">
        <v>13</v>
      </c>
      <c r="R27" s="17">
        <v>19</v>
      </c>
      <c r="S27" s="17">
        <v>23</v>
      </c>
      <c r="T27" s="17">
        <v>29</v>
      </c>
      <c r="U27" s="17">
        <v>35</v>
      </c>
      <c r="V27" s="17">
        <v>41</v>
      </c>
      <c r="W27" s="17">
        <v>53</v>
      </c>
      <c r="X27" s="17">
        <v>70</v>
      </c>
      <c r="Y27" s="17">
        <v>85</v>
      </c>
      <c r="Z27" s="17">
        <v>104</v>
      </c>
      <c r="AA27" s="17">
        <v>129</v>
      </c>
      <c r="AB27" s="17">
        <v>154</v>
      </c>
      <c r="AC27" s="17">
        <v>204</v>
      </c>
    </row>
    <row r="28" spans="2:32" ht="15.6" customHeight="1">
      <c r="B28" s="26"/>
      <c r="C28" s="31" t="s">
        <v>38</v>
      </c>
      <c r="D28" s="26"/>
      <c r="E28" s="54" t="str">
        <f>IF(AND(OR(E35,G35,I35),I60),IF(G35,(E44/E18)/(0.0001/G38),(E62/E18)/0.0001),"---")</f>
        <v>---</v>
      </c>
      <c r="F28" s="26"/>
      <c r="G28" s="39" t="s">
        <v>39</v>
      </c>
      <c r="H28" s="26"/>
      <c r="I28" s="26"/>
      <c r="J28" s="26"/>
      <c r="L28" s="10"/>
      <c r="M28" s="44"/>
      <c r="N28" s="18" t="s">
        <v>12</v>
      </c>
      <c r="O28" s="50">
        <v>6</v>
      </c>
      <c r="P28" s="51">
        <v>8</v>
      </c>
      <c r="Q28" s="51">
        <v>10</v>
      </c>
      <c r="R28" s="51">
        <v>16</v>
      </c>
      <c r="S28" s="51">
        <v>20</v>
      </c>
      <c r="T28" s="51">
        <v>26</v>
      </c>
      <c r="U28" s="51">
        <v>32</v>
      </c>
      <c r="V28" s="51">
        <v>38</v>
      </c>
      <c r="W28" s="51">
        <v>50</v>
      </c>
      <c r="X28" s="51">
        <v>66</v>
      </c>
      <c r="Y28" s="51">
        <v>81</v>
      </c>
      <c r="Z28" s="51">
        <v>100</v>
      </c>
      <c r="AA28" s="51">
        <v>125</v>
      </c>
      <c r="AB28" s="51">
        <v>150</v>
      </c>
      <c r="AC28" s="52">
        <v>200</v>
      </c>
    </row>
    <row r="29" spans="2:32" ht="15.75">
      <c r="B29" s="26"/>
      <c r="C29" s="26"/>
      <c r="D29" s="26"/>
      <c r="E29" s="26"/>
      <c r="F29" s="26"/>
      <c r="G29" s="26"/>
      <c r="H29" s="26"/>
      <c r="I29" s="26"/>
      <c r="J29" s="26"/>
      <c r="L29" s="10"/>
    </row>
    <row r="30" spans="2:32" ht="15.75">
      <c r="B30" s="26"/>
      <c r="C30" s="31" t="s">
        <v>42</v>
      </c>
      <c r="D30" s="26"/>
      <c r="E30" s="53">
        <f>IF(I35,E45,IF(AND(NOT(E35),NOT(G35),NOT(I35)),"---",E20))</f>
        <v>108.87050505816927</v>
      </c>
      <c r="F30" s="26"/>
      <c r="G30" s="43" t="str">
        <f>G20</f>
        <v>l</v>
      </c>
      <c r="H30" s="39" t="s">
        <v>21</v>
      </c>
      <c r="I30" s="43" t="str">
        <f>I20</f>
        <v>min</v>
      </c>
      <c r="J30" s="26"/>
      <c r="L30" s="10"/>
      <c r="M30" s="12" t="s">
        <v>51</v>
      </c>
    </row>
    <row r="31" spans="2:32" ht="15.75">
      <c r="B31" s="26"/>
      <c r="C31" s="26"/>
      <c r="D31" s="26"/>
      <c r="E31" s="26"/>
      <c r="F31" s="26"/>
      <c r="G31" s="26"/>
      <c r="H31" s="26"/>
      <c r="I31" s="26"/>
      <c r="J31" s="26"/>
      <c r="L31" s="10"/>
    </row>
    <row r="32" spans="2:32">
      <c r="L32" s="13"/>
      <c r="M32" s="9"/>
      <c r="N32" s="48" t="s">
        <v>52</v>
      </c>
      <c r="O32" s="55" t="s">
        <v>53</v>
      </c>
      <c r="P32" s="55" t="s">
        <v>54</v>
      </c>
      <c r="Q32" s="55" t="s">
        <v>55</v>
      </c>
      <c r="R32" s="55" t="s">
        <v>56</v>
      </c>
      <c r="S32" s="55" t="s">
        <v>57</v>
      </c>
      <c r="T32" s="55" t="s">
        <v>58</v>
      </c>
      <c r="U32" s="55" t="s">
        <v>59</v>
      </c>
      <c r="V32" s="55" t="s">
        <v>60</v>
      </c>
      <c r="W32" s="55" t="s">
        <v>61</v>
      </c>
      <c r="X32" s="55" t="s">
        <v>62</v>
      </c>
      <c r="Y32" s="55" t="s">
        <v>63</v>
      </c>
      <c r="Z32" s="55" t="s">
        <v>64</v>
      </c>
      <c r="AA32" s="55" t="s">
        <v>65</v>
      </c>
      <c r="AB32" s="55" t="s">
        <v>66</v>
      </c>
      <c r="AC32" s="55" t="s">
        <v>67</v>
      </c>
      <c r="AD32" s="55" t="s">
        <v>68</v>
      </c>
      <c r="AE32" s="55" t="s">
        <v>69</v>
      </c>
      <c r="AF32" s="55" t="s">
        <v>70</v>
      </c>
    </row>
    <row r="33" spans="1:3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10"/>
      <c r="M33" s="41" t="s">
        <v>71</v>
      </c>
      <c r="N33" s="41" t="s">
        <v>10</v>
      </c>
      <c r="O33" s="17">
        <v>10.3</v>
      </c>
      <c r="P33" s="17">
        <v>13.7</v>
      </c>
      <c r="Q33" s="17">
        <v>17.100000000000001</v>
      </c>
      <c r="R33" s="17">
        <v>21.3</v>
      </c>
      <c r="S33" s="17">
        <v>26.7</v>
      </c>
      <c r="T33" s="17">
        <v>26.6</v>
      </c>
      <c r="U33" s="17">
        <v>42.2</v>
      </c>
      <c r="V33" s="17">
        <v>48.3</v>
      </c>
      <c r="W33" s="17">
        <v>60.3</v>
      </c>
      <c r="X33" s="17">
        <v>73</v>
      </c>
      <c r="Y33" s="17">
        <v>88.9</v>
      </c>
      <c r="Z33" s="17">
        <v>101.6</v>
      </c>
      <c r="AA33" s="17">
        <v>114.3</v>
      </c>
      <c r="AB33" s="17">
        <v>128.19999999999999</v>
      </c>
      <c r="AC33" s="17">
        <v>168.3</v>
      </c>
      <c r="AD33" s="17">
        <v>219.1</v>
      </c>
      <c r="AE33" s="17">
        <v>273.10000000000002</v>
      </c>
      <c r="AF33" s="17">
        <v>323.89999999999998</v>
      </c>
    </row>
    <row r="34" spans="1:32">
      <c r="A34" s="63"/>
      <c r="B34" s="63"/>
      <c r="C34" s="63" t="s">
        <v>72</v>
      </c>
      <c r="D34" s="63"/>
      <c r="E34" s="64">
        <f>IF(E14=0,0,1)</f>
        <v>1</v>
      </c>
      <c r="F34" s="64"/>
      <c r="G34" s="64">
        <f>IF(AND(_xlfn.XOR(E60,AND(G60,I60)),_xlfn.XOR(E60,G60)),1,0)</f>
        <v>1</v>
      </c>
      <c r="H34" s="64"/>
      <c r="I34" s="64">
        <f>IF(E20=0,0,1)</f>
        <v>0</v>
      </c>
      <c r="J34" s="63"/>
      <c r="K34" s="63"/>
      <c r="L34" s="10"/>
      <c r="M34" s="18" t="s">
        <v>73</v>
      </c>
      <c r="N34" s="18" t="s">
        <v>12</v>
      </c>
      <c r="O34" s="56">
        <v>6.8</v>
      </c>
      <c r="P34" s="57">
        <v>9.1999999999999993</v>
      </c>
      <c r="Q34" s="57">
        <v>12.5</v>
      </c>
      <c r="R34" s="57">
        <v>15.8</v>
      </c>
      <c r="S34" s="57">
        <v>20.9</v>
      </c>
      <c r="T34" s="57">
        <v>26.6</v>
      </c>
      <c r="U34" s="57">
        <v>35.1</v>
      </c>
      <c r="V34" s="57">
        <v>40.9</v>
      </c>
      <c r="W34" s="57">
        <v>52.2</v>
      </c>
      <c r="X34" s="57">
        <v>62.7</v>
      </c>
      <c r="Y34" s="57">
        <v>77.900000000000006</v>
      </c>
      <c r="Z34" s="57">
        <v>90.1</v>
      </c>
      <c r="AA34" s="57">
        <v>102.3</v>
      </c>
      <c r="AB34" s="57">
        <v>260.39999999999998</v>
      </c>
      <c r="AC34" s="57">
        <v>154.1</v>
      </c>
      <c r="AD34" s="57">
        <v>202.7</v>
      </c>
      <c r="AE34" s="57">
        <v>254.5</v>
      </c>
      <c r="AF34" s="58">
        <v>304.8</v>
      </c>
    </row>
    <row r="35" spans="1:32">
      <c r="A35" s="63"/>
      <c r="B35" s="63"/>
      <c r="C35" s="63" t="s">
        <v>74</v>
      </c>
      <c r="D35" s="63"/>
      <c r="E35" s="64" t="b">
        <f>AND(NOT(E34),G34,I34)</f>
        <v>0</v>
      </c>
      <c r="F35" s="64"/>
      <c r="G35" s="64" t="b">
        <f>AND(E34,NOT(G34),I34)</f>
        <v>0</v>
      </c>
      <c r="H35" s="64"/>
      <c r="I35" s="64" t="b">
        <f>AND(E34,G34,NOT(I34))</f>
        <v>1</v>
      </c>
      <c r="J35" s="63"/>
      <c r="K35" s="63"/>
      <c r="L35" s="10"/>
      <c r="M35" s="22" t="s">
        <v>75</v>
      </c>
      <c r="N35" s="22" t="s">
        <v>12</v>
      </c>
      <c r="O35" s="59">
        <v>5.5</v>
      </c>
      <c r="P35" s="60">
        <v>7.7</v>
      </c>
      <c r="Q35" s="60">
        <v>10.7</v>
      </c>
      <c r="R35" s="60">
        <v>13.9</v>
      </c>
      <c r="S35" s="60">
        <v>18.8</v>
      </c>
      <c r="T35" s="60">
        <v>24.3</v>
      </c>
      <c r="U35" s="60">
        <v>32.5</v>
      </c>
      <c r="V35" s="60">
        <v>38.1</v>
      </c>
      <c r="W35" s="60">
        <v>49.3</v>
      </c>
      <c r="X35" s="60">
        <v>59</v>
      </c>
      <c r="Y35" s="60">
        <v>73.7</v>
      </c>
      <c r="Z35" s="60">
        <v>85.4</v>
      </c>
      <c r="AA35" s="60">
        <v>97.2</v>
      </c>
      <c r="AB35" s="60">
        <v>260.39999999999998</v>
      </c>
      <c r="AC35" s="60">
        <v>146.30000000000001</v>
      </c>
      <c r="AD35" s="60">
        <v>193.7</v>
      </c>
      <c r="AE35" s="60">
        <v>247.7</v>
      </c>
      <c r="AF35" s="61">
        <v>298.5</v>
      </c>
    </row>
    <row r="36" spans="1:32">
      <c r="A36" s="63"/>
      <c r="B36" s="63"/>
      <c r="C36" s="63" t="s">
        <v>76</v>
      </c>
      <c r="D36" s="63"/>
      <c r="E36" s="64">
        <f>IF(G14="mm",0.001,0.01)</f>
        <v>1E-3</v>
      </c>
      <c r="F36" s="64"/>
      <c r="G36" s="64">
        <f>IF(G16="mm",0.001,IF(G16="cm",0.01,IF(G16="dm",0.1,IF(G16="zoll",0.0254,1))))</f>
        <v>1</v>
      </c>
      <c r="H36" s="64"/>
      <c r="I36" s="64">
        <f>IF(G20="ml",0.000001,IF(G20="cl",0.00001,IF(G20="dl",0.0001,IF(G20="l",0.001,IF(G20="mm³",0.000000001,IF(G20="cm³",0.000001,IF(G20="gal (USA)",0.003785411784,1)))))))</f>
        <v>1E-3</v>
      </c>
      <c r="J36" s="63"/>
      <c r="K36" s="63"/>
      <c r="L36" s="10"/>
    </row>
    <row r="37" spans="1:32">
      <c r="A37" s="63"/>
      <c r="B37" s="63"/>
      <c r="C37" s="63" t="s">
        <v>77</v>
      </c>
      <c r="D37" s="63"/>
      <c r="E37" s="64"/>
      <c r="F37" s="64"/>
      <c r="G37" s="64">
        <f>IF(I16="min",60,IF(I16="h",3600,1))</f>
        <v>1</v>
      </c>
      <c r="H37" s="64"/>
      <c r="I37" s="64">
        <f>IF(I20="min",60,IF(I20="h",3600,IF(I20="d",86400,1)))</f>
        <v>60</v>
      </c>
      <c r="J37" s="63"/>
      <c r="K37" s="63"/>
      <c r="L37" s="10"/>
      <c r="M37" s="6" t="s">
        <v>78</v>
      </c>
    </row>
    <row r="38" spans="1:32">
      <c r="A38" s="63"/>
      <c r="B38" s="63"/>
      <c r="C38" s="63" t="s">
        <v>79</v>
      </c>
      <c r="D38" s="63"/>
      <c r="E38" s="64">
        <f>E36</f>
        <v>1E-3</v>
      </c>
      <c r="F38" s="64"/>
      <c r="G38" s="64">
        <f>G36/G37</f>
        <v>1</v>
      </c>
      <c r="H38" s="64"/>
      <c r="I38" s="64">
        <f>I36/I37</f>
        <v>1.6666666666666667E-5</v>
      </c>
      <c r="J38" s="63"/>
      <c r="K38" s="63"/>
      <c r="L38" s="10"/>
    </row>
    <row r="39" spans="1:32">
      <c r="A39" s="63"/>
      <c r="B39" s="63"/>
      <c r="C39" s="63"/>
      <c r="D39" s="63"/>
      <c r="E39" s="64"/>
      <c r="F39" s="64"/>
      <c r="G39" s="64"/>
      <c r="H39" s="64"/>
      <c r="I39" s="64"/>
      <c r="J39" s="63"/>
      <c r="K39" s="63"/>
      <c r="L39" s="13"/>
      <c r="M39" s="9"/>
      <c r="N39" s="14" t="s">
        <v>23</v>
      </c>
      <c r="O39" s="15" t="s">
        <v>25</v>
      </c>
      <c r="P39" s="15" t="s">
        <v>26</v>
      </c>
      <c r="Q39" s="15" t="s">
        <v>27</v>
      </c>
      <c r="R39" s="15" t="s">
        <v>28</v>
      </c>
      <c r="S39" s="15" t="s">
        <v>29</v>
      </c>
      <c r="T39" s="15" t="s">
        <v>30</v>
      </c>
      <c r="U39" s="15" t="s">
        <v>31</v>
      </c>
      <c r="V39" s="15" t="s">
        <v>32</v>
      </c>
      <c r="W39" s="15" t="s">
        <v>33</v>
      </c>
      <c r="X39" s="15" t="s">
        <v>34</v>
      </c>
      <c r="Y39" s="15" t="s">
        <v>35</v>
      </c>
      <c r="Z39" s="15" t="s">
        <v>36</v>
      </c>
      <c r="AA39" s="15" t="s">
        <v>37</v>
      </c>
    </row>
    <row r="40" spans="1:32">
      <c r="A40" s="63"/>
      <c r="B40" s="63"/>
      <c r="C40" s="63" t="s">
        <v>80</v>
      </c>
      <c r="D40" s="63"/>
      <c r="E40" s="64">
        <f>PI()*((E14*E38)/2)*((E14*E38)/2)</f>
        <v>5.3092915845667516E-4</v>
      </c>
      <c r="F40" s="64"/>
      <c r="G40" s="64">
        <f>IF(E47,E40-I52,E40)</f>
        <v>4.5362710440903866E-4</v>
      </c>
      <c r="H40" s="64"/>
      <c r="I40" s="64"/>
      <c r="J40" s="63"/>
      <c r="K40" s="63"/>
      <c r="L40" s="10"/>
      <c r="M40" s="40"/>
      <c r="N40" s="41" t="s">
        <v>10</v>
      </c>
      <c r="O40" s="17">
        <v>6.35</v>
      </c>
      <c r="P40" s="17">
        <v>9.35</v>
      </c>
      <c r="Q40" s="17">
        <v>12.7</v>
      </c>
      <c r="R40" s="17">
        <v>19.05</v>
      </c>
      <c r="S40" s="17">
        <v>25.4</v>
      </c>
      <c r="T40" s="17"/>
      <c r="U40" s="17">
        <v>38.1</v>
      </c>
      <c r="V40" s="17">
        <v>50.8</v>
      </c>
      <c r="W40" s="17">
        <v>63.5</v>
      </c>
      <c r="X40" s="17">
        <v>76.2</v>
      </c>
      <c r="Y40" s="17">
        <v>101.6</v>
      </c>
      <c r="Z40" s="17"/>
      <c r="AA40" s="17">
        <v>152.4</v>
      </c>
    </row>
    <row r="41" spans="1:32">
      <c r="A41" s="63"/>
      <c r="B41" s="63"/>
      <c r="C41" s="63" t="s">
        <v>81</v>
      </c>
      <c r="D41" s="63"/>
      <c r="E41" s="64">
        <f>IF(E35,(E20*I38)/(E62*G38),0)</f>
        <v>0</v>
      </c>
      <c r="F41" s="64"/>
      <c r="G41" s="64"/>
      <c r="H41" s="64"/>
      <c r="I41" s="64"/>
      <c r="J41" s="63"/>
      <c r="K41" s="63"/>
      <c r="L41" s="10"/>
      <c r="M41" s="44"/>
      <c r="N41" s="18" t="s">
        <v>12</v>
      </c>
      <c r="O41" s="50">
        <v>4.57</v>
      </c>
      <c r="P41" s="51">
        <v>7.75</v>
      </c>
      <c r="Q41" s="51">
        <v>9.4</v>
      </c>
      <c r="R41" s="51">
        <v>15.75</v>
      </c>
      <c r="S41" s="51">
        <v>22.1</v>
      </c>
      <c r="T41" s="51"/>
      <c r="U41" s="51">
        <v>34.799999999999997</v>
      </c>
      <c r="V41" s="51">
        <v>47.5</v>
      </c>
      <c r="W41" s="51">
        <v>60.2</v>
      </c>
      <c r="X41" s="51">
        <v>72.900000000000006</v>
      </c>
      <c r="Y41" s="51">
        <v>97.9</v>
      </c>
      <c r="Z41" s="51"/>
      <c r="AA41" s="52">
        <v>146.86000000000001</v>
      </c>
    </row>
    <row r="42" spans="1:3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2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9"/>
    </row>
    <row r="43" spans="1:32">
      <c r="A43" s="63"/>
      <c r="B43" s="63"/>
      <c r="C43" s="63" t="s">
        <v>82</v>
      </c>
      <c r="D43" s="63"/>
      <c r="E43" s="64">
        <f>IF(E35,2*SQRT(E41/PI())/E38,0)</f>
        <v>0</v>
      </c>
      <c r="F43" s="64"/>
      <c r="G43" s="64"/>
      <c r="H43" s="64"/>
      <c r="I43" s="64"/>
      <c r="J43" s="63"/>
      <c r="K43" s="63"/>
    </row>
    <row r="44" spans="1:32">
      <c r="A44" s="63"/>
      <c r="B44" s="63"/>
      <c r="C44" s="63" t="s">
        <v>83</v>
      </c>
      <c r="D44" s="63"/>
      <c r="E44" s="63">
        <f>IF(G35,((E20*I38)/(G40*G38)),0)</f>
        <v>0</v>
      </c>
      <c r="F44" s="63"/>
      <c r="G44" s="63"/>
      <c r="H44" s="63"/>
      <c r="I44" s="63"/>
      <c r="J44" s="63"/>
      <c r="K44" s="63"/>
    </row>
    <row r="45" spans="1:32">
      <c r="A45" s="63"/>
      <c r="B45" s="63"/>
      <c r="C45" s="63" t="s">
        <v>84</v>
      </c>
      <c r="D45" s="63"/>
      <c r="E45" s="63">
        <f>IF(I35,(E62*G40)/I38,0)</f>
        <v>108.87050505816927</v>
      </c>
      <c r="F45" s="63"/>
      <c r="G45" s="63"/>
      <c r="H45" s="63"/>
      <c r="I45" s="63"/>
      <c r="J45" s="63"/>
      <c r="K45" s="63"/>
    </row>
    <row r="46" spans="1:3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</row>
    <row r="47" spans="1:32">
      <c r="A47" s="63"/>
      <c r="B47" s="63"/>
      <c r="C47" s="63" t="s">
        <v>85</v>
      </c>
      <c r="D47" s="63"/>
      <c r="E47" s="65" t="b">
        <v>1</v>
      </c>
      <c r="F47" s="64"/>
      <c r="G47" s="66" t="s">
        <v>86</v>
      </c>
      <c r="H47" s="64"/>
      <c r="I47" s="64">
        <f>(E48*0.001)/(E14*E38)</f>
        <v>0.23076923076923075</v>
      </c>
      <c r="J47" s="63"/>
      <c r="K47" s="63"/>
    </row>
    <row r="48" spans="1:32">
      <c r="A48" s="63"/>
      <c r="B48" s="63"/>
      <c r="C48" s="63" t="s">
        <v>87</v>
      </c>
      <c r="D48" s="63"/>
      <c r="E48" s="63">
        <f>IF(G48,6.5,6)</f>
        <v>6</v>
      </c>
      <c r="F48" s="63"/>
      <c r="G48" s="67" t="b">
        <v>0</v>
      </c>
      <c r="H48" s="63"/>
      <c r="I48" s="63"/>
      <c r="J48" s="63"/>
      <c r="K48" s="63"/>
    </row>
    <row r="49" spans="1:14">
      <c r="A49" s="63" t="s">
        <v>88</v>
      </c>
      <c r="B49" s="63"/>
      <c r="C49" s="63" t="s">
        <v>89</v>
      </c>
      <c r="D49" s="63"/>
      <c r="E49" s="63">
        <f>IF((E48*0.001) &gt; (E14*E38),1,0)</f>
        <v>0</v>
      </c>
      <c r="F49" s="63"/>
      <c r="G49" s="63"/>
      <c r="H49" s="63"/>
      <c r="I49" s="63"/>
      <c r="J49" s="63"/>
      <c r="K49" s="63"/>
    </row>
    <row r="50" spans="1:14">
      <c r="A50" s="63"/>
      <c r="B50" s="63"/>
      <c r="C50" s="63" t="s">
        <v>90</v>
      </c>
      <c r="D50" s="63"/>
      <c r="E50" s="63">
        <f>IF(AND(E34,NOT(E49)),2*ASIN(I47),0)</f>
        <v>0.46573635651616468</v>
      </c>
      <c r="F50" s="63"/>
      <c r="G50" s="63">
        <f>(PI()/2)-(E50/2)</f>
        <v>1.3379281485368142</v>
      </c>
      <c r="H50" s="63"/>
      <c r="I50" s="63"/>
      <c r="J50" s="63"/>
      <c r="K50" s="63"/>
    </row>
    <row r="51" spans="1:14">
      <c r="A51" s="63"/>
      <c r="B51" s="63"/>
      <c r="C51" s="63" t="s">
        <v>91</v>
      </c>
      <c r="D51" s="63"/>
      <c r="E51" s="63">
        <f>SIN(G50)*(E14/2)</f>
        <v>12.649110640673516</v>
      </c>
      <c r="F51" s="63"/>
      <c r="G51" s="63"/>
      <c r="H51" s="63"/>
      <c r="I51" s="63"/>
      <c r="J51" s="63"/>
      <c r="K51" s="63"/>
    </row>
    <row r="52" spans="1:14">
      <c r="A52" s="63"/>
      <c r="B52" s="63"/>
      <c r="C52" s="63" t="s">
        <v>92</v>
      </c>
      <c r="D52" s="63"/>
      <c r="E52" s="63">
        <f>E51*E48*E38*0.001</f>
        <v>7.5894663844041101E-5</v>
      </c>
      <c r="F52" s="63"/>
      <c r="G52" s="63">
        <f>(((E14*0.001)/2)*((E14*0.001)/2)/2)*(E50-SIN(E50))</f>
        <v>1.4073902035953653E-6</v>
      </c>
      <c r="H52" s="63"/>
      <c r="I52" s="63">
        <f>IF(E49 = 0,E52+G52,0.5*E40)</f>
        <v>7.7302054047636469E-5</v>
      </c>
      <c r="J52" s="63"/>
      <c r="K52" s="63"/>
    </row>
    <row r="53" spans="1:14">
      <c r="A53" s="63"/>
      <c r="B53" s="63"/>
      <c r="C53" s="63" t="s">
        <v>93</v>
      </c>
      <c r="D53" s="63"/>
      <c r="E53" s="63">
        <f>(E48*0.001)*(E48*0.001)</f>
        <v>3.6000000000000001E-5</v>
      </c>
      <c r="F53" s="63"/>
      <c r="G53" s="63">
        <f>4*E41*PI()</f>
        <v>0</v>
      </c>
      <c r="H53" s="63"/>
      <c r="I53" s="63">
        <f>SQRT(G53+E53)</f>
        <v>6.0000000000000001E-3</v>
      </c>
      <c r="J53" s="63"/>
      <c r="K53" s="63"/>
    </row>
    <row r="54" spans="1:14">
      <c r="A54" s="63" t="s">
        <v>94</v>
      </c>
      <c r="B54" s="63"/>
      <c r="C54" s="63" t="s">
        <v>95</v>
      </c>
      <c r="D54" s="63"/>
      <c r="E54" s="63">
        <f>((E48*0.001)+I53)/(2*PI())</f>
        <v>1.9098593171027441E-3</v>
      </c>
      <c r="F54" s="63"/>
      <c r="G54" s="63" t="s">
        <v>96</v>
      </c>
      <c r="H54" s="63"/>
      <c r="I54" s="63">
        <f>(E54*2)/0.001</f>
        <v>3.8197186342054881</v>
      </c>
      <c r="J54" s="63"/>
      <c r="K54" s="63"/>
    </row>
    <row r="55" spans="1:14">
      <c r="A55" s="63"/>
      <c r="B55" s="63"/>
      <c r="C55" s="63" t="s">
        <v>97</v>
      </c>
      <c r="D55" s="63"/>
      <c r="E55" s="63">
        <f>1+(G55*POWER((I54*0.001),I55))</f>
        <v>8.3807596813853245</v>
      </c>
      <c r="F55" s="63" t="s">
        <v>98</v>
      </c>
      <c r="G55" s="63">
        <v>5.1354281600000005E-13</v>
      </c>
      <c r="H55" s="63" t="s">
        <v>99</v>
      </c>
      <c r="I55" s="63">
        <v>-5.4415612600000003</v>
      </c>
      <c r="J55" s="63"/>
      <c r="K55" s="63"/>
    </row>
    <row r="56" spans="1:14">
      <c r="A56" s="63"/>
      <c r="B56" s="63"/>
      <c r="C56" s="63" t="s">
        <v>100</v>
      </c>
      <c r="D56" s="63"/>
      <c r="E56" s="63">
        <f>I54/E55</f>
        <v>0.45577236186470577</v>
      </c>
      <c r="F56" s="63"/>
      <c r="G56" s="63"/>
      <c r="H56" s="63"/>
      <c r="I56" s="63"/>
      <c r="J56" s="63"/>
      <c r="K56" s="63"/>
    </row>
    <row r="57" spans="1:14">
      <c r="A57" s="63"/>
      <c r="B57" s="63"/>
      <c r="C57" s="63" t="s">
        <v>101</v>
      </c>
      <c r="D57" s="63"/>
      <c r="E57" s="63">
        <f>G57*(E56*E56*0.001*0.001)+I57*(E56*0.001)+K57+1</f>
        <v>0.39856909497686754</v>
      </c>
      <c r="F57" s="63" t="s">
        <v>98</v>
      </c>
      <c r="G57" s="63">
        <f>IF(G48,-4087.9686868,-4805.4518812)</f>
        <v>-4805.4518811999997</v>
      </c>
      <c r="H57" s="63" t="s">
        <v>99</v>
      </c>
      <c r="I57" s="63">
        <f>IF(G48,91.97097761,113.3070549)</f>
        <v>113.3070549</v>
      </c>
      <c r="J57" s="63" t="s">
        <v>102</v>
      </c>
      <c r="K57" s="63">
        <f>IF(G48,-0.51672731,-0.6520749)</f>
        <v>-0.65207490000000001</v>
      </c>
      <c r="L57" s="11"/>
      <c r="M57" s="11"/>
      <c r="N57" s="11"/>
    </row>
    <row r="58" spans="1:14">
      <c r="A58" s="63"/>
      <c r="B58" s="63"/>
      <c r="C58" s="63" t="s">
        <v>103</v>
      </c>
      <c r="D58" s="63"/>
      <c r="E58" s="63">
        <f>1+(G58*POWER((E56*0.001-I58),K58)+M58)</f>
        <v>6.6428163642194287</v>
      </c>
      <c r="F58" s="63" t="s">
        <v>98</v>
      </c>
      <c r="G58" s="63">
        <f>IF(G48,0.0000000926602952,0.00000000012247177)</f>
        <v>1.2247176999999999E-10</v>
      </c>
      <c r="H58" s="63" t="s">
        <v>99</v>
      </c>
      <c r="I58" s="63">
        <f>IF(G48,0.0007,0.000445)</f>
        <v>4.4499999999999997E-4</v>
      </c>
      <c r="J58" s="63" t="s">
        <v>102</v>
      </c>
      <c r="K58" s="63">
        <f>IF(G48,-1.64274294,-2.15492006)</f>
        <v>-2.1549200599999998</v>
      </c>
      <c r="L58" s="46" t="s">
        <v>104</v>
      </c>
      <c r="M58" s="46">
        <f>IF(G48,-0.3901,-0.566)</f>
        <v>-0.56599999999999995</v>
      </c>
      <c r="N58" s="11"/>
    </row>
    <row r="59" spans="1:14">
      <c r="A59" s="63"/>
      <c r="B59" s="63"/>
      <c r="C59" s="63" t="s">
        <v>105</v>
      </c>
      <c r="D59" s="63"/>
      <c r="E59" s="63">
        <f>IF(G59,E56/E57,IF(I59,E56/E58,E56))</f>
        <v>6.8611314369558335E-2</v>
      </c>
      <c r="F59" s="68" t="s">
        <v>106</v>
      </c>
      <c r="G59" s="69" t="b">
        <f>IF(E48=6,AND(E56&lt;9.5,E56&gt;0.8),AND(E56&lt;12,E56&gt;1.5))</f>
        <v>0</v>
      </c>
      <c r="H59" s="63" t="s">
        <v>107</v>
      </c>
      <c r="I59" s="69" t="b">
        <f>IF(E48=6,AND(E56&lt;=0.8,E56&gt;0.44),AND(E56&lt;=1.5,E56&gt;0.7))</f>
        <v>1</v>
      </c>
      <c r="J59" s="63"/>
      <c r="K59" s="63"/>
      <c r="L59" s="11"/>
      <c r="M59" s="11"/>
      <c r="N59" s="11"/>
    </row>
    <row r="60" spans="1:14">
      <c r="A60" s="63" t="s">
        <v>108</v>
      </c>
      <c r="B60" s="63"/>
      <c r="C60" s="63" t="s">
        <v>72</v>
      </c>
      <c r="D60" s="63"/>
      <c r="E60" s="63">
        <f>IF(E16=0,0,1)</f>
        <v>1</v>
      </c>
      <c r="F60" s="63"/>
      <c r="G60" s="63">
        <f>IF(E17=0,0,1)</f>
        <v>0</v>
      </c>
      <c r="H60" s="63"/>
      <c r="I60" s="63">
        <f>IF(E18=0,0,1)</f>
        <v>0</v>
      </c>
      <c r="J60" s="63"/>
      <c r="K60" s="63"/>
      <c r="L60" s="11"/>
      <c r="M60" s="11"/>
      <c r="N60" s="11"/>
    </row>
    <row r="61" spans="1:14">
      <c r="A61" s="63"/>
      <c r="B61" s="63"/>
      <c r="C61" s="63" t="s">
        <v>74</v>
      </c>
      <c r="D61" s="63"/>
      <c r="E61" s="63" t="b">
        <f>AND(E60,NOT(G60))</f>
        <v>1</v>
      </c>
      <c r="F61" s="63"/>
      <c r="G61" s="63" t="b">
        <f>AND(G60,I60,NOT(E60))</f>
        <v>0</v>
      </c>
      <c r="H61" s="63"/>
      <c r="I61" s="63"/>
      <c r="J61" s="63"/>
      <c r="K61" s="63"/>
      <c r="L61" s="11"/>
      <c r="M61" s="11"/>
      <c r="N61" s="11"/>
    </row>
    <row r="62" spans="1:14">
      <c r="A62" s="63"/>
      <c r="B62" s="63"/>
      <c r="C62" s="63" t="s">
        <v>109</v>
      </c>
      <c r="D62" s="63"/>
      <c r="E62" s="63">
        <f>IF(E61,E16*G38,IF(G61,E17*E18*0.0001,0))</f>
        <v>4</v>
      </c>
      <c r="F62" s="63"/>
      <c r="G62" s="63"/>
      <c r="H62" s="63"/>
      <c r="I62" s="63"/>
      <c r="J62" s="63"/>
      <c r="K62" s="63"/>
      <c r="L62" s="11"/>
      <c r="M62" s="11"/>
      <c r="N62" s="11"/>
    </row>
    <row r="63" spans="1:14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11"/>
      <c r="M63" s="11"/>
      <c r="N63" s="11"/>
    </row>
    <row r="64" spans="1:14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11"/>
      <c r="M64" s="11"/>
      <c r="N64" s="11"/>
    </row>
    <row r="65" spans="1:14">
      <c r="A65" s="63"/>
      <c r="B65" s="63"/>
      <c r="C65" s="63" t="s">
        <v>110</v>
      </c>
      <c r="D65" s="63"/>
      <c r="E65" s="63"/>
      <c r="F65" s="63"/>
      <c r="G65" s="63"/>
      <c r="H65" s="63"/>
      <c r="I65" s="63"/>
      <c r="J65" s="63"/>
      <c r="K65" s="63"/>
      <c r="L65" s="11"/>
      <c r="M65" s="11"/>
      <c r="N65" s="11"/>
    </row>
    <row r="66" spans="1:14">
      <c r="A66" s="70">
        <v>42033</v>
      </c>
      <c r="B66" s="70"/>
      <c r="C66" s="63" t="s">
        <v>111</v>
      </c>
      <c r="D66" s="63"/>
      <c r="E66" s="63"/>
      <c r="F66" s="63"/>
      <c r="G66" s="63"/>
      <c r="H66" s="63"/>
      <c r="I66" s="63"/>
      <c r="J66" s="63"/>
      <c r="K66" s="63"/>
      <c r="L66" s="11"/>
      <c r="M66" s="11"/>
      <c r="N66" s="11"/>
    </row>
    <row r="67" spans="1:14">
      <c r="A67" s="70">
        <v>42034</v>
      </c>
      <c r="B67" s="63"/>
      <c r="C67" s="63" t="s">
        <v>112</v>
      </c>
      <c r="D67" s="63"/>
      <c r="E67" s="63"/>
      <c r="F67" s="63"/>
      <c r="G67" s="63"/>
      <c r="H67" s="63"/>
      <c r="I67" s="63"/>
      <c r="J67" s="63"/>
      <c r="K67" s="63"/>
      <c r="L67" s="11"/>
      <c r="M67" s="11"/>
      <c r="N67" s="11"/>
    </row>
    <row r="68" spans="1:14">
      <c r="A68" s="70">
        <v>42038</v>
      </c>
      <c r="B68" s="63"/>
      <c r="C68" s="63" t="s">
        <v>113</v>
      </c>
      <c r="D68" s="63"/>
      <c r="E68" s="63"/>
      <c r="F68" s="63"/>
      <c r="G68" s="63"/>
      <c r="H68" s="63"/>
      <c r="I68" s="63"/>
      <c r="J68" s="63"/>
      <c r="K68" s="63"/>
      <c r="L68" s="11"/>
      <c r="M68" s="11"/>
      <c r="N68" s="11"/>
    </row>
    <row r="69" spans="1:14">
      <c r="A69" s="70">
        <v>42055</v>
      </c>
      <c r="B69" s="63"/>
      <c r="C69" s="63" t="s">
        <v>114</v>
      </c>
      <c r="D69" s="63"/>
      <c r="E69" s="63"/>
      <c r="F69" s="63"/>
      <c r="G69" s="63"/>
      <c r="H69" s="63"/>
      <c r="I69" s="63"/>
      <c r="J69" s="63"/>
      <c r="K69" s="63"/>
      <c r="L69" s="11"/>
      <c r="M69" s="11"/>
      <c r="N69" s="11"/>
    </row>
    <row r="70" spans="1:14">
      <c r="A70" s="70">
        <v>42058</v>
      </c>
      <c r="B70" s="63"/>
      <c r="C70" s="63" t="s">
        <v>115</v>
      </c>
      <c r="D70" s="63"/>
      <c r="E70" s="63"/>
      <c r="F70" s="63"/>
      <c r="G70" s="63"/>
      <c r="H70" s="63"/>
      <c r="I70" s="63"/>
      <c r="J70" s="63"/>
      <c r="K70" s="63"/>
      <c r="L70" s="11"/>
      <c r="M70" s="11"/>
      <c r="N70" s="11"/>
    </row>
    <row r="71" spans="1:14">
      <c r="A71" s="70">
        <v>42061</v>
      </c>
      <c r="B71" s="63"/>
      <c r="C71" s="63" t="s">
        <v>116</v>
      </c>
      <c r="D71" s="63"/>
      <c r="E71" s="63"/>
      <c r="F71" s="63"/>
      <c r="G71" s="63"/>
      <c r="H71" s="63"/>
      <c r="I71" s="63"/>
      <c r="J71" s="63"/>
      <c r="K71" s="63"/>
      <c r="L71" s="11"/>
      <c r="M71" s="11"/>
      <c r="N71" s="11"/>
    </row>
    <row r="72" spans="1:14">
      <c r="A72" s="70">
        <v>42066</v>
      </c>
      <c r="B72" s="63"/>
      <c r="C72" s="63" t="s">
        <v>117</v>
      </c>
      <c r="D72" s="63"/>
      <c r="E72" s="63"/>
      <c r="F72" s="63"/>
      <c r="G72" s="63"/>
      <c r="H72" s="63"/>
      <c r="I72" s="63"/>
      <c r="J72" s="63"/>
      <c r="K72" s="63"/>
      <c r="L72" s="11"/>
      <c r="M72" s="11"/>
      <c r="N72" s="11"/>
    </row>
    <row r="73" spans="1:14">
      <c r="A73" s="70">
        <v>42067</v>
      </c>
      <c r="B73" s="63"/>
      <c r="C73" s="63" t="s">
        <v>118</v>
      </c>
      <c r="D73" s="63"/>
      <c r="E73" s="63"/>
      <c r="F73" s="63"/>
      <c r="G73" s="63"/>
      <c r="H73" s="63"/>
      <c r="I73" s="63"/>
      <c r="J73" s="63"/>
      <c r="K73" s="63"/>
    </row>
    <row r="74" spans="1:14">
      <c r="A74" s="70">
        <v>42067</v>
      </c>
      <c r="B74" s="63"/>
      <c r="C74" s="63" t="s">
        <v>119</v>
      </c>
      <c r="D74" s="63"/>
      <c r="E74" s="63"/>
      <c r="F74" s="63"/>
      <c r="G74" s="63"/>
      <c r="H74" s="63"/>
      <c r="I74" s="63"/>
      <c r="J74" s="63"/>
      <c r="K74" s="63"/>
    </row>
    <row r="75" spans="1:1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</sheetData>
  <sheetProtection algorithmName="SHA-512" hashValue="9rTEK3RyX8YER/ofmE4kFY22HmyTpCTiFIG/VuhLwz+QF88q/mSNP0ov/WhRicbMXBKRvzEbGk3lUGnBfkN05A==" saltValue="3FuleN9KyQkniOM+N7dYCw==" spinCount="100000" sheet="1" objects="1" scenarios="1"/>
  <mergeCells count="8">
    <mergeCell ref="C6:J6"/>
    <mergeCell ref="C7:J7"/>
    <mergeCell ref="B8:J8"/>
    <mergeCell ref="B1:C1"/>
    <mergeCell ref="B2:J2"/>
    <mergeCell ref="C3:J3"/>
    <mergeCell ref="C4:J4"/>
    <mergeCell ref="C5:J5"/>
  </mergeCells>
  <dataValidations count="8">
    <dataValidation type="decimal" operator="notEqual" allowBlank="1" showErrorMessage="1" sqref="E14 E16 E20">
      <formula1>0</formula1>
      <formula2>0</formula2>
    </dataValidation>
    <dataValidation type="list" operator="equal" showErrorMessage="1" sqref="G14">
      <formula1>"mm,cm"</formula1>
      <formula2>0</formula2>
    </dataValidation>
    <dataValidation type="list" operator="equal" sqref="G16">
      <formula1>"mm,cm,dm,m"</formula1>
    </dataValidation>
    <dataValidation type="list" operator="equal" sqref="I16">
      <formula1>"s,min,h"</formula1>
      <formula2>0</formula2>
    </dataValidation>
    <dataValidation type="decimal" operator="greaterThan" allowBlank="1" sqref="E17">
      <formula1>0</formula1>
      <formula2>0</formula2>
    </dataValidation>
    <dataValidation type="decimal" operator="greaterThan" allowBlank="1" showErrorMessage="1" sqref="E18">
      <formula1>0</formula1>
      <formula2>0</formula2>
    </dataValidation>
    <dataValidation type="list" operator="equal" sqref="G20">
      <formula1>"ml,cl,dl,l,mm³,cm³,m³"</formula1>
    </dataValidation>
    <dataValidation type="list" operator="equal" sqref="I20">
      <formula1>"s,min,h,d"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&amp;CSeite &amp;P</oddFooter>
  </headerFooter>
  <drawing r:id="rId1"/>
  <legacyDrawing r:id="rId2"/>
  <controls>
    <mc:AlternateContent xmlns:mc="http://schemas.openxmlformats.org/markup-compatibility/2006">
      <mc:Choice Requires="x14">
        <control shapeId="1028" r:id="rId3" name="CheckBox1">
          <controlPr locked="0" defaultSize="0" autoLine="0" linkedCell="E47" r:id="rId4">
            <anchor moveWithCells="1">
              <from>
                <xdr:col>2</xdr:col>
                <xdr:colOff>0</xdr:colOff>
                <xdr:row>11</xdr:row>
                <xdr:rowOff>19050</xdr:rowOff>
              </from>
              <to>
                <xdr:col>3</xdr:col>
                <xdr:colOff>0</xdr:colOff>
                <xdr:row>12</xdr:row>
                <xdr:rowOff>47625</xdr:rowOff>
              </to>
            </anchor>
          </controlPr>
        </control>
      </mc:Choice>
      <mc:Fallback>
        <control shapeId="1028" r:id="rId3" name="CheckBox1"/>
      </mc:Fallback>
    </mc:AlternateContent>
    <mc:AlternateContent xmlns:mc="http://schemas.openxmlformats.org/markup-compatibility/2006">
      <mc:Choice Requires="x14">
        <control shapeId="1027" r:id="rId5" name="OptionButton2">
          <controlPr defaultSize="0" autoLine="0" r:id="rId6">
            <anchor moveWithCells="1">
              <from>
                <xdr:col>5</xdr:col>
                <xdr:colOff>114300</xdr:colOff>
                <xdr:row>9</xdr:row>
                <xdr:rowOff>180975</xdr:rowOff>
              </from>
              <to>
                <xdr:col>6</xdr:col>
                <xdr:colOff>790575</xdr:colOff>
                <xdr:row>11</xdr:row>
                <xdr:rowOff>0</xdr:rowOff>
              </to>
            </anchor>
          </controlPr>
        </control>
      </mc:Choice>
      <mc:Fallback>
        <control shapeId="1027" r:id="rId5" name="OptionButton2"/>
      </mc:Fallback>
    </mc:AlternateContent>
    <mc:AlternateContent xmlns:mc="http://schemas.openxmlformats.org/markup-compatibility/2006">
      <mc:Choice Requires="x14">
        <control shapeId="1026" r:id="rId7" name="OptionButton1">
          <controlPr defaultSize="0" autoLine="0" linkedCell="G48" r:id="rId8">
            <anchor moveWithCells="1">
              <from>
                <xdr:col>3</xdr:col>
                <xdr:colOff>161925</xdr:colOff>
                <xdr:row>10</xdr:row>
                <xdr:rowOff>0</xdr:rowOff>
              </from>
              <to>
                <xdr:col>4</xdr:col>
                <xdr:colOff>828675</xdr:colOff>
                <xdr:row>11</xdr:row>
                <xdr:rowOff>9525</xdr:rowOff>
              </to>
            </anchor>
          </controlPr>
        </control>
      </mc:Choice>
      <mc:Fallback>
        <control shapeId="1026" r:id="rId7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Volumenstromrechner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Wilhelm</dc:creator>
  <dc:description/>
  <cp:lastModifiedBy>Harter Matteo</cp:lastModifiedBy>
  <cp:revision>82</cp:revision>
  <dcterms:created xsi:type="dcterms:W3CDTF">2015-01-29T15:44:21Z</dcterms:created>
  <dcterms:modified xsi:type="dcterms:W3CDTF">2019-04-12T07:51:30Z</dcterms:modified>
  <dc:language>de-DE</dc:language>
</cp:coreProperties>
</file>